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somerset-my.sharepoint.com/personal/liz_renes_n-somerset_gov_uk/Documents/Desktop/Web updates/2026 updates/January/"/>
    </mc:Choice>
  </mc:AlternateContent>
  <xr:revisionPtr revIDLastSave="0" documentId="8_{26738673-F82C-41DC-8205-B55ED7511AAB}" xr6:coauthVersionLast="47" xr6:coauthVersionMax="47" xr10:uidLastSave="{00000000-0000-0000-0000-000000000000}"/>
  <bookViews>
    <workbookView xWindow="-108" yWindow="-108" windowWidth="23256" windowHeight="12456" firstSheet="4" activeTab="8" xr2:uid="{B6EDE0E5-6BCA-4CC4-8F88-AB6E61771F6D}"/>
  </bookViews>
  <sheets>
    <sheet name="Spend Overview" sheetId="13" r:id="rId1"/>
    <sheet name="Resurfacing Schemes" sheetId="1" r:id="rId2"/>
    <sheet name="Surface Dressing Schemes" sheetId="2" r:id="rId3"/>
    <sheet name="Patching Schemes" sheetId="3" r:id="rId4"/>
    <sheet name="Drainage" sheetId="7" r:id="rId5"/>
    <sheet name="Structures" sheetId="6" r:id="rId6"/>
    <sheet name="Street Lighting" sheetId="8" r:id="rId7"/>
    <sheet name="ITB Stage 5" sheetId="11" r:id="rId8"/>
    <sheet name="ITB Stage 6" sheetId="12" r:id="rId9"/>
  </sheets>
  <externalReferences>
    <externalReference r:id="rId10"/>
  </externalReferences>
  <definedNames>
    <definedName name="_xlnm._FilterDatabase" localSheetId="4" hidden="1">Drainage!$A$2:$Q$2</definedName>
    <definedName name="_xlnm._FilterDatabase" localSheetId="1" hidden="1">'Resurfacing Schemes'!$A$2:$O$16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2" l="1"/>
  <c r="H9" i="13"/>
  <c r="H10" i="13"/>
  <c r="H11" i="13"/>
  <c r="H8" i="13"/>
  <c r="E41" i="13"/>
  <c r="F41" i="13"/>
  <c r="G41" i="13"/>
  <c r="H41" i="13"/>
  <c r="I41" i="13"/>
  <c r="F32" i="13"/>
  <c r="G32" i="13"/>
  <c r="H28" i="13"/>
  <c r="H29" i="13"/>
  <c r="H30" i="13"/>
  <c r="H31" i="13"/>
  <c r="J40" i="13"/>
  <c r="J39" i="13"/>
  <c r="H22" i="13"/>
  <c r="H23" i="13"/>
  <c r="H24" i="13"/>
  <c r="H25" i="13"/>
  <c r="H26" i="13"/>
  <c r="H27" i="13"/>
  <c r="H21" i="13"/>
  <c r="O3" i="12"/>
  <c r="T4" i="8"/>
  <c r="T5" i="8"/>
  <c r="T6" i="8"/>
  <c r="T7" i="8"/>
  <c r="T8" i="8"/>
  <c r="T3" i="8"/>
  <c r="N9" i="8"/>
  <c r="O9" i="8"/>
  <c r="P9" i="8"/>
  <c r="M9" i="8"/>
  <c r="R9" i="8"/>
  <c r="T9" i="8" l="1"/>
  <c r="H12" i="13"/>
  <c r="H32" i="13"/>
  <c r="J41" i="13"/>
  <c r="S9" i="8"/>
  <c r="Q7" i="11"/>
  <c r="O4" i="12"/>
  <c r="O5" i="12"/>
  <c r="O6" i="12"/>
  <c r="L28" i="12"/>
  <c r="M28" i="12"/>
  <c r="O22" i="11"/>
  <c r="Q3" i="11"/>
  <c r="L22" i="11"/>
  <c r="M22" i="11"/>
  <c r="N22" i="11"/>
  <c r="P20" i="11"/>
  <c r="P13" i="11"/>
  <c r="P14" i="11"/>
  <c r="P15" i="11"/>
  <c r="P16" i="11"/>
  <c r="P17" i="11"/>
  <c r="P18" i="11"/>
  <c r="P19" i="11"/>
  <c r="N27" i="12"/>
  <c r="N16" i="12"/>
  <c r="O16" i="12" s="1"/>
  <c r="N17" i="12"/>
  <c r="O17" i="12" s="1"/>
  <c r="N18" i="12"/>
  <c r="O18" i="12" s="1"/>
  <c r="N19" i="12"/>
  <c r="O19" i="12" s="1"/>
  <c r="O7" i="12"/>
  <c r="O8" i="12"/>
  <c r="O9" i="12"/>
  <c r="N20" i="12"/>
  <c r="O20" i="12" s="1"/>
  <c r="N14" i="12"/>
  <c r="O14" i="12" s="1"/>
  <c r="N12" i="12"/>
  <c r="O12" i="12" s="1"/>
  <c r="N13" i="12"/>
  <c r="O13" i="12" s="1"/>
  <c r="N21" i="12"/>
  <c r="O21" i="12" s="1"/>
  <c r="N22" i="12"/>
  <c r="O22" i="12" s="1"/>
  <c r="O10" i="12"/>
  <c r="N23" i="12"/>
  <c r="O23" i="12" s="1"/>
  <c r="N15" i="12"/>
  <c r="O15" i="12" s="1"/>
  <c r="N11" i="12"/>
  <c r="Q20" i="11"/>
  <c r="Q19" i="11"/>
  <c r="Q6" i="11"/>
  <c r="Q18" i="11"/>
  <c r="Q17" i="11"/>
  <c r="Q16" i="11"/>
  <c r="K5" i="11"/>
  <c r="Q5" i="11" s="1"/>
  <c r="K4" i="11"/>
  <c r="Q15" i="11"/>
  <c r="Q8" i="11"/>
  <c r="Q12" i="11"/>
  <c r="Q10" i="11"/>
  <c r="Q9" i="11"/>
  <c r="Q14" i="11"/>
  <c r="Q11" i="11"/>
  <c r="Q13" i="11"/>
  <c r="E13" i="11"/>
  <c r="D13" i="11"/>
  <c r="Q4" i="11" l="1"/>
  <c r="K22" i="11"/>
  <c r="N28" i="12"/>
  <c r="O28" i="12" s="1"/>
  <c r="P22" i="11"/>
  <c r="O11" i="12"/>
  <c r="Q22" i="11"/>
  <c r="O11" i="2"/>
  <c r="O3" i="2"/>
  <c r="O4" i="2"/>
  <c r="O5" i="2"/>
  <c r="O6" i="2"/>
  <c r="O7" i="2"/>
  <c r="O8" i="2"/>
  <c r="O9" i="2"/>
  <c r="O10" i="2"/>
  <c r="O13" i="2"/>
  <c r="P13" i="2" s="1"/>
  <c r="O14" i="2"/>
  <c r="P14" i="2" s="1"/>
  <c r="M26" i="7"/>
  <c r="O8" i="7"/>
  <c r="M8" i="7"/>
  <c r="N12" i="7"/>
  <c r="O12" i="7" s="1"/>
  <c r="N13" i="7"/>
  <c r="O13" i="7" s="1"/>
  <c r="N14" i="7"/>
  <c r="N15" i="7"/>
  <c r="N16" i="7"/>
  <c r="N17" i="7"/>
  <c r="O17" i="7" s="1"/>
  <c r="P17" i="7" s="1"/>
  <c r="N18" i="7"/>
  <c r="N19" i="7"/>
  <c r="O19" i="7" s="1"/>
  <c r="N20" i="7"/>
  <c r="O20" i="7" s="1"/>
  <c r="N21" i="7"/>
  <c r="O21" i="7" s="1"/>
  <c r="N22" i="7"/>
  <c r="O22" i="7" s="1"/>
  <c r="N23" i="7"/>
  <c r="N24" i="7"/>
  <c r="O24" i="7" s="1"/>
  <c r="N25" i="7"/>
  <c r="O25" i="7" s="1"/>
  <c r="P25" i="7" s="1"/>
  <c r="N11" i="7"/>
  <c r="O11" i="7" s="1"/>
  <c r="N4" i="7"/>
  <c r="P4" i="7" s="1"/>
  <c r="N5" i="7"/>
  <c r="P5" i="7" s="1"/>
  <c r="N6" i="7"/>
  <c r="P6" i="7" s="1"/>
  <c r="N7" i="7"/>
  <c r="P7" i="7" s="1"/>
  <c r="N3" i="7"/>
  <c r="P3" i="7" s="1"/>
  <c r="O7" i="1"/>
  <c r="Q9" i="8"/>
  <c r="Q14" i="2" l="1"/>
  <c r="R14" i="2" s="1"/>
  <c r="O15" i="2"/>
  <c r="Q13" i="2"/>
  <c r="R13" i="2" s="1"/>
  <c r="P8" i="7"/>
  <c r="N8" i="7"/>
  <c r="P11" i="7"/>
  <c r="N26" i="7"/>
  <c r="O15" i="7"/>
  <c r="P15" i="7" s="1"/>
  <c r="P22" i="7"/>
  <c r="O14" i="7"/>
  <c r="P14" i="7" s="1"/>
  <c r="P19" i="7"/>
  <c r="P24" i="7"/>
  <c r="O16" i="7"/>
  <c r="P16" i="7" s="1"/>
  <c r="O23" i="7"/>
  <c r="P23" i="7" s="1"/>
  <c r="O18" i="7"/>
  <c r="P18" i="7" s="1"/>
  <c r="P13" i="7"/>
  <c r="P21" i="7"/>
  <c r="P20" i="7"/>
  <c r="P12" i="7"/>
  <c r="P26" i="7" l="1"/>
  <c r="O26" i="7"/>
  <c r="Q26" i="1"/>
  <c r="P25" i="1"/>
  <c r="O26" i="1"/>
  <c r="R25" i="1" l="1"/>
  <c r="S25" i="1" s="1"/>
  <c r="O4" i="3"/>
  <c r="P24" i="1" l="1"/>
  <c r="P21" i="1"/>
  <c r="R21" i="1" l="1"/>
  <c r="S21" i="1" s="1"/>
  <c r="R24" i="1"/>
  <c r="S24" i="1" s="1"/>
  <c r="O21" i="2"/>
  <c r="P23" i="1"/>
  <c r="P22" i="1"/>
  <c r="P20" i="1"/>
  <c r="P19" i="1"/>
  <c r="R19" i="1" l="1"/>
  <c r="S19" i="1"/>
  <c r="R20" i="1"/>
  <c r="S20" i="1" s="1"/>
  <c r="R22" i="1"/>
  <c r="S22" i="1" s="1"/>
  <c r="R23" i="1"/>
  <c r="S23" i="1" s="1"/>
  <c r="P26" i="1"/>
  <c r="O12" i="6"/>
  <c r="O11" i="6"/>
  <c r="O10" i="6"/>
  <c r="O9" i="6"/>
  <c r="N7" i="6"/>
  <c r="M7" i="6"/>
  <c r="N6" i="6"/>
  <c r="M6" i="6"/>
  <c r="N5" i="6"/>
  <c r="M5" i="6"/>
  <c r="N4" i="6"/>
  <c r="M4" i="6"/>
  <c r="O4" i="6" s="1"/>
  <c r="N3" i="6"/>
  <c r="M3" i="6"/>
  <c r="M13" i="6" s="1"/>
  <c r="O3" i="6" l="1"/>
  <c r="O7" i="6"/>
  <c r="R26" i="1"/>
  <c r="S26" i="1" s="1"/>
  <c r="O5" i="6"/>
  <c r="O6" i="6"/>
  <c r="N13" i="6"/>
  <c r="O13" i="6" l="1"/>
  <c r="P15" i="1"/>
  <c r="Q15" i="1" l="1"/>
  <c r="R15" i="1" s="1"/>
  <c r="O13" i="1"/>
  <c r="O12" i="1"/>
  <c r="O29" i="1"/>
  <c r="O10" i="1"/>
  <c r="O5" i="1"/>
  <c r="P5" i="1" l="1"/>
  <c r="Q5" i="1" s="1"/>
  <c r="P10" i="1"/>
  <c r="Q10" i="1" s="1"/>
  <c r="P12" i="1"/>
  <c r="Q12" i="1" s="1"/>
  <c r="P13" i="1"/>
  <c r="O8" i="1"/>
  <c r="O11" i="1"/>
  <c r="O6" i="1"/>
  <c r="O4" i="1"/>
  <c r="O3" i="1"/>
  <c r="O12" i="3"/>
  <c r="O11" i="3"/>
  <c r="O10" i="3"/>
  <c r="O9" i="3"/>
  <c r="Q13" i="1" l="1"/>
  <c r="R13" i="1" s="1"/>
  <c r="Q12" i="3"/>
  <c r="R12" i="1"/>
  <c r="R10" i="1"/>
  <c r="R5" i="1"/>
  <c r="R12" i="3"/>
  <c r="P6" i="1"/>
  <c r="P7" i="1"/>
  <c r="P11" i="1"/>
  <c r="P4" i="1"/>
  <c r="Q4" i="1" s="1"/>
  <c r="P8" i="1"/>
  <c r="Q8" i="1" s="1"/>
  <c r="P3" i="1"/>
  <c r="Q3" i="1" s="1"/>
  <c r="P12" i="3"/>
  <c r="P10" i="3"/>
  <c r="Q10" i="3" s="1"/>
  <c r="R10" i="3" s="1"/>
  <c r="P9" i="3"/>
  <c r="Q9" i="3" s="1"/>
  <c r="R9" i="3" s="1"/>
  <c r="P11" i="3"/>
  <c r="Q11" i="3" s="1"/>
  <c r="R11" i="3" s="1"/>
  <c r="O36" i="1"/>
  <c r="Q11" i="1" l="1"/>
  <c r="R11" i="1" s="1"/>
  <c r="Q6" i="1"/>
  <c r="R6" i="1" s="1"/>
  <c r="R4" i="1"/>
  <c r="Q7" i="1"/>
  <c r="R8" i="1"/>
  <c r="R3" i="1"/>
  <c r="O8" i="3"/>
  <c r="O7" i="3"/>
  <c r="O6" i="3"/>
  <c r="O5" i="3"/>
  <c r="O3" i="3"/>
  <c r="O20" i="2"/>
  <c r="O19" i="2"/>
  <c r="O22" i="2"/>
  <c r="O18" i="2"/>
  <c r="O34" i="1"/>
  <c r="O33" i="1"/>
  <c r="O30" i="1"/>
  <c r="K9" i="1"/>
  <c r="O9" i="1" s="1"/>
  <c r="O32" i="1"/>
  <c r="O14" i="1"/>
  <c r="O31" i="1"/>
  <c r="O35" i="1"/>
  <c r="O23" i="2" l="1"/>
  <c r="O37" i="1"/>
  <c r="R7" i="1"/>
  <c r="O16" i="1"/>
  <c r="P10" i="2"/>
  <c r="P3" i="2"/>
  <c r="P9" i="2"/>
  <c r="P11" i="2"/>
  <c r="P5" i="2"/>
  <c r="P6" i="2"/>
  <c r="P4" i="2"/>
  <c r="P12" i="2"/>
  <c r="P7" i="2"/>
  <c r="Q7" i="2" s="1"/>
  <c r="P8" i="2"/>
  <c r="Q8" i="2" s="1"/>
  <c r="P14" i="1"/>
  <c r="Q14" i="1" s="1"/>
  <c r="P9" i="1"/>
  <c r="Q9" i="1" s="1"/>
  <c r="Q16" i="1" s="1"/>
  <c r="P3" i="3"/>
  <c r="Q3" i="3" s="1"/>
  <c r="R3" i="3" s="1"/>
  <c r="P6" i="3"/>
  <c r="Q6" i="3" s="1"/>
  <c r="R6" i="3" s="1"/>
  <c r="P4" i="3"/>
  <c r="P5" i="3"/>
  <c r="Q5" i="3" s="1"/>
  <c r="R5" i="3" s="1"/>
  <c r="P7" i="3"/>
  <c r="Q7" i="3" s="1"/>
  <c r="R7" i="3" s="1"/>
  <c r="P8" i="3"/>
  <c r="Q8" i="3" s="1"/>
  <c r="R8" i="3" s="1"/>
  <c r="O13" i="3"/>
  <c r="Q4" i="3" l="1"/>
  <c r="R4" i="3" s="1"/>
  <c r="P15" i="2"/>
  <c r="Q15" i="2" s="1"/>
  <c r="Q3" i="2"/>
  <c r="R3" i="2" s="1"/>
  <c r="Q9" i="2"/>
  <c r="R9" i="2" s="1"/>
  <c r="Q12" i="2"/>
  <c r="R12" i="2" s="1"/>
  <c r="Q4" i="2"/>
  <c r="R4" i="2" s="1"/>
  <c r="R7" i="2"/>
  <c r="R8" i="2"/>
  <c r="Q11" i="2"/>
  <c r="R11" i="2" s="1"/>
  <c r="Q10" i="2"/>
  <c r="R10" i="2" s="1"/>
  <c r="Q6" i="2"/>
  <c r="R6" i="2" s="1"/>
  <c r="Q5" i="2"/>
  <c r="R5" i="2" s="1"/>
  <c r="R9" i="1"/>
  <c r="R14" i="1"/>
  <c r="P16" i="1"/>
  <c r="P13" i="3"/>
  <c r="Q13" i="3" l="1"/>
  <c r="R13" i="3"/>
  <c r="R16" i="1"/>
  <c r="R15" i="2" l="1"/>
  <c r="O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Margerison</author>
  </authors>
  <commentList>
    <comment ref="H2" authorId="0" shapeId="0" xr:uid="{65461274-83BC-474A-9EB8-0F96FDB4857E}">
      <text>
        <r>
          <rPr>
            <b/>
            <sz val="14"/>
            <color indexed="81"/>
            <rFont val="Tahoma"/>
            <family val="2"/>
          </rPr>
          <t>Lindsay Margerison:</t>
        </r>
        <r>
          <rPr>
            <sz val="9"/>
            <color indexed="81"/>
            <rFont val="Tahoma"/>
            <family val="2"/>
          </rPr>
          <t xml:space="preserve">
</t>
        </r>
        <r>
          <rPr>
            <sz val="14"/>
            <color indexed="81"/>
            <rFont val="Tahoma"/>
            <family val="2"/>
          </rPr>
          <t>If code in grey, this is a code from a previous financial year and will need updating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Hilary D Crouch</author>
  </authors>
  <commentList>
    <comment ref="K2" authorId="0" shapeId="0" xr:uid="{8BE3B042-63FF-4DF1-BA6E-237A71796C2F}">
      <text>
        <r>
          <rPr>
            <b/>
            <sz val="9"/>
            <color indexed="81"/>
            <rFont val="Tahoma"/>
            <family val="2"/>
          </rPr>
          <t>Hilary D Crouch:</t>
        </r>
        <r>
          <rPr>
            <sz val="9"/>
            <color indexed="81"/>
            <rFont val="Tahoma"/>
            <family val="2"/>
          </rPr>
          <t xml:space="preserve">
vlookup from finance tab</t>
        </r>
      </text>
    </comment>
    <comment ref="L2" authorId="0" shapeId="0" xr:uid="{E3410D21-32A0-47B3-AFF1-D21771D94392}">
      <text>
        <r>
          <rPr>
            <b/>
            <sz val="9"/>
            <color indexed="81"/>
            <rFont val="Tahoma"/>
            <family val="2"/>
          </rPr>
          <t>Hilary D Crouch:</t>
        </r>
        <r>
          <rPr>
            <sz val="9"/>
            <color indexed="81"/>
            <rFont val="Tahoma"/>
            <family val="2"/>
          </rPr>
          <t xml:space="preserve">
vlookup from finance tab</t>
        </r>
      </text>
    </comment>
    <comment ref="N2" authorId="0" shapeId="0" xr:uid="{855FF7D5-495C-404D-BE2B-42139D10AC5F}">
      <text>
        <r>
          <rPr>
            <b/>
            <sz val="9"/>
            <color indexed="81"/>
            <rFont val="Tahoma"/>
            <family val="2"/>
          </rPr>
          <t>Hilary D Crouch:</t>
        </r>
        <r>
          <rPr>
            <sz val="9"/>
            <color indexed="81"/>
            <rFont val="Tahoma"/>
            <family val="2"/>
          </rPr>
          <t xml:space="preserve">
vlookup from finance tab</t>
        </r>
      </text>
    </comment>
    <comment ref="O2" authorId="0" shapeId="0" xr:uid="{619E2647-1D31-41B7-B85D-947B77F5B624}">
      <text>
        <r>
          <rPr>
            <b/>
            <sz val="9"/>
            <color indexed="81"/>
            <rFont val="Tahoma"/>
            <family val="2"/>
          </rPr>
          <t>Hilary D Crouch:</t>
        </r>
        <r>
          <rPr>
            <sz val="9"/>
            <color indexed="81"/>
            <rFont val="Tahoma"/>
            <family val="2"/>
          </rPr>
          <t xml:space="preserve">
vlookup from finance tab</t>
        </r>
      </text>
    </comment>
    <comment ref="Q2" authorId="0" shapeId="0" xr:uid="{040788F3-59E3-49C6-8B4E-B401777AFF12}">
      <text>
        <r>
          <rPr>
            <b/>
            <sz val="9"/>
            <color indexed="81"/>
            <rFont val="Tahoma"/>
            <family val="2"/>
          </rPr>
          <t>Hilary D Crouch:</t>
        </r>
        <r>
          <rPr>
            <sz val="9"/>
            <color indexed="81"/>
            <rFont val="Tahoma"/>
            <family val="2"/>
          </rPr>
          <t xml:space="preserve">
vlookup from finance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Hilary D Crouch</author>
  </authors>
  <commentList>
    <comment ref="F2" authorId="0" shapeId="0" xr:uid="{61C410AB-645F-4818-A859-D3567C59B485}">
      <text>
        <r>
          <rPr>
            <b/>
            <sz val="9"/>
            <color indexed="81"/>
            <rFont val="Tahoma"/>
            <family val="2"/>
          </rPr>
          <t>Hilary D Crouch:</t>
        </r>
        <r>
          <rPr>
            <sz val="9"/>
            <color indexed="81"/>
            <rFont val="Tahoma"/>
            <family val="2"/>
          </rPr>
          <t xml:space="preserve">
vlookup from finance tab</t>
        </r>
      </text>
    </comment>
  </commentList>
</comments>
</file>

<file path=xl/sharedStrings.xml><?xml version="1.0" encoding="utf-8"?>
<sst xmlns="http://schemas.openxmlformats.org/spreadsheetml/2006/main" count="1220" uniqueCount="559">
  <si>
    <t>Highways Maintenance</t>
  </si>
  <si>
    <t>Works Type</t>
  </si>
  <si>
    <t>Slipped Budget</t>
  </si>
  <si>
    <t>26/27 Funding</t>
  </si>
  <si>
    <t>Total</t>
  </si>
  <si>
    <t>Resurfacing</t>
  </si>
  <si>
    <t>Surface Dressing</t>
  </si>
  <si>
    <t>Drainage</t>
  </si>
  <si>
    <t>Advanced Work Planning</t>
  </si>
  <si>
    <t>Structures</t>
  </si>
  <si>
    <t>Street Lighting</t>
  </si>
  <si>
    <t>S106</t>
  </si>
  <si>
    <t>External Funding</t>
  </si>
  <si>
    <t>Active Travel Fund</t>
  </si>
  <si>
    <t>Stage 5</t>
  </si>
  <si>
    <t>Stage 6</t>
  </si>
  <si>
    <t>  Ref</t>
  </si>
  <si>
    <t>  Class</t>
  </si>
  <si>
    <t>  Road No</t>
  </si>
  <si>
    <t>  Location</t>
  </si>
  <si>
    <t>Parish</t>
  </si>
  <si>
    <t>  Digital Length</t>
  </si>
  <si>
    <t>  Str Indicator</t>
  </si>
  <si>
    <t>  Rcr Ranking</t>
  </si>
  <si>
    <t>Comments</t>
  </si>
  <si>
    <t>AM Treatment Type</t>
  </si>
  <si>
    <t xml:space="preserve">Resurfacing Area (m2) </t>
  </si>
  <si>
    <t>Priority</t>
  </si>
  <si>
    <t xml:space="preserve">Confidence </t>
  </si>
  <si>
    <t>Route to Market</t>
  </si>
  <si>
    <t xml:space="preserve">Cost </t>
  </si>
  <si>
    <t>Design Fees (4%)</t>
  </si>
  <si>
    <t>Supervision Fees (4.9%)</t>
  </si>
  <si>
    <t>Total Scheme Budget</t>
  </si>
  <si>
    <t>Unclassified</t>
  </si>
  <si>
    <t>U0091</t>
  </si>
  <si>
    <t>CHESTNUT ROAD</t>
  </si>
  <si>
    <t>LONG ASHTON</t>
  </si>
  <si>
    <t xml:space="preserve">Medium </t>
  </si>
  <si>
    <t>Wainwright</t>
  </si>
  <si>
    <t>Yes</t>
  </si>
  <si>
    <t>U0230</t>
  </si>
  <si>
    <t>BAILDON ROAD</t>
  </si>
  <si>
    <t>WSM</t>
  </si>
  <si>
    <t>Reconstruction or geogrid</t>
  </si>
  <si>
    <t>Low</t>
  </si>
  <si>
    <t>U0224</t>
  </si>
  <si>
    <t>CHURCHILL ROAD</t>
  </si>
  <si>
    <t>Resurface, include Langford Road up to joint with newer material</t>
  </si>
  <si>
    <t>High</t>
  </si>
  <si>
    <t>GRASMERE DRIVE</t>
  </si>
  <si>
    <t>Do with Baildon</t>
  </si>
  <si>
    <t>U0377</t>
  </si>
  <si>
    <t>LOWER QUEENS ROAD</t>
  </si>
  <si>
    <t>CLEVEDON</t>
  </si>
  <si>
    <t>Footways, kerbs, resurface PRIORITY. FWs 471m2 Kerbs 215m</t>
  </si>
  <si>
    <t>Resurfacing, Footways, Channels, Kerbs, Associated Drainage</t>
  </si>
  <si>
    <t>WINDERMERE AVENUE</t>
  </si>
  <si>
    <t xml:space="preserve">Do with Baildon. Could ADD 404m2 FWs </t>
  </si>
  <si>
    <t>U0347</t>
  </si>
  <si>
    <t>MOORFIELD ROAD / WESTFIELD ROAD</t>
  </si>
  <si>
    <t>BACKWELL</t>
  </si>
  <si>
    <t>No</t>
  </si>
  <si>
    <t>U0095</t>
  </si>
  <si>
    <t>BIRDWELL ROAD</t>
  </si>
  <si>
    <t>BAILDON CRESCENT</t>
  </si>
  <si>
    <t>A Class</t>
  </si>
  <si>
    <t>A370</t>
  </si>
  <si>
    <t>STATION CLOSE TO CONGRESBURY BRIDGE</t>
  </si>
  <si>
    <t>CONGRESBURY</t>
  </si>
  <si>
    <t>U0220</t>
  </si>
  <si>
    <t>EARLHAM GROVE</t>
  </si>
  <si>
    <t>Reconstruction or geogrid £90m-2</t>
  </si>
  <si>
    <t>C Class</t>
  </si>
  <si>
    <t>C738 B3130 To B3128 Long Ashton</t>
  </si>
  <si>
    <t>LAMPTON ROAD</t>
  </si>
  <si>
    <t>N/A</t>
  </si>
  <si>
    <t>LONGRIDGE WAY ROUNDABOUT</t>
  </si>
  <si>
    <t xml:space="preserve">Difference </t>
  </si>
  <si>
    <t>Required Budget</t>
  </si>
  <si>
    <t>WEST TOWN ROAD HILLSIDE TO RODNEY ROAD</t>
  </si>
  <si>
    <t>U0205</t>
  </si>
  <si>
    <t>ELLESMERE ROAD</t>
  </si>
  <si>
    <t>UPHILL</t>
  </si>
  <si>
    <t>U004</t>
  </si>
  <si>
    <t>MILTON ROAD</t>
  </si>
  <si>
    <t>Resurfacing, Associated Drainage</t>
  </si>
  <si>
    <t>U0422</t>
  </si>
  <si>
    <t>YANLEIGH CLOSE</t>
  </si>
  <si>
    <t>DUNDRY</t>
  </si>
  <si>
    <t>B Class</t>
  </si>
  <si>
    <t>B3130</t>
  </si>
  <si>
    <t>TICKENHAM ROAD</t>
  </si>
  <si>
    <t>WESTON ROAD</t>
  </si>
  <si>
    <t>U0236</t>
  </si>
  <si>
    <t>MONTPELLIER</t>
  </si>
  <si>
    <t>RESERVE SCHEMES</t>
  </si>
  <si>
    <t>U0339</t>
  </si>
  <si>
    <t>SOUTHFIELD ROAD</t>
  </si>
  <si>
    <t>NAILSEA</t>
  </si>
  <si>
    <t>Alligator cracking, lots and lots of prior patching. Breaking out in places</t>
  </si>
  <si>
    <t xml:space="preserve">Low </t>
  </si>
  <si>
    <t>U0255</t>
  </si>
  <si>
    <t>GREENWOOD ROAD</t>
  </si>
  <si>
    <t>WORLE</t>
  </si>
  <si>
    <t>Resurface + 690m2 FWs</t>
  </si>
  <si>
    <t>U0382</t>
  </si>
  <si>
    <t>THE AVENUE</t>
  </si>
  <si>
    <t>Lots of failed jet patching. Multiple sunken trenches. Possibility to add 1717m2 of FWs</t>
  </si>
  <si>
    <t>Unc12 Avon Way, Portishead</t>
  </si>
  <si>
    <t>AVON WAY</t>
  </si>
  <si>
    <t>PORTISHEAD</t>
  </si>
  <si>
    <t>Structural. Rutting, cracking and mud pumping through the cracks. May need 2 course surfacing if not more. Consider FWs. Costs based on £85/m2 £735k</t>
  </si>
  <si>
    <t>U0370</t>
  </si>
  <si>
    <t>HILL MOOR</t>
  </si>
  <si>
    <t>Main drag of Hill Moor/ Moor Park cracked and delaminated. Resurface but maybe leave other bits for micro? Has been deferred a few times</t>
  </si>
  <si>
    <t>MOOR PARK</t>
  </si>
  <si>
    <t>See Hill Moor</t>
  </si>
  <si>
    <t>A369</t>
  </si>
  <si>
    <t>DENNY VIEW RD TO SANDY LANE</t>
  </si>
  <si>
    <t>ABBOTS LEIGH</t>
  </si>
  <si>
    <t>C405 Myrtle House.Fm. To Kenn</t>
  </si>
  <si>
    <t>DOWNSIDE ROAD</t>
  </si>
  <si>
    <t>Previously a recycling job. Heavy subsidence</t>
  </si>
  <si>
    <t>SD Area (m2)</t>
  </si>
  <si>
    <t>Cost</t>
  </si>
  <si>
    <t>U0414</t>
  </si>
  <si>
    <t>DIAL LANE</t>
  </si>
  <si>
    <t>FELTON</t>
  </si>
  <si>
    <t>Patched 25/26, surface dress</t>
  </si>
  <si>
    <t>Eurovia</t>
  </si>
  <si>
    <t>C499</t>
  </si>
  <si>
    <t>WINT HILL</t>
  </si>
  <si>
    <t>BANWELL</t>
  </si>
  <si>
    <t>Should be OK for Surface Dressing with only minor patching Patched 24/25</t>
  </si>
  <si>
    <t>A368</t>
  </si>
  <si>
    <t>THE COOMBE, BLAGDON</t>
  </si>
  <si>
    <t>BLAGDON</t>
  </si>
  <si>
    <t>Pre patched 25/26</t>
  </si>
  <si>
    <t>C405</t>
  </si>
  <si>
    <t>CHELVEY ROAD</t>
  </si>
  <si>
    <t>Pre patched 25/26. Could be extended to 16471.3m2)</t>
  </si>
  <si>
    <t>Surface Dressing, Associated Drainage</t>
  </si>
  <si>
    <t>C43</t>
  </si>
  <si>
    <t>LONGWOOD AND WEIR LANE</t>
  </si>
  <si>
    <t>Pre patched 24/25</t>
  </si>
  <si>
    <t>BROCKLEY LANE</t>
  </si>
  <si>
    <t>C434</t>
  </si>
  <si>
    <t>HIGH ST,PORTBURY</t>
  </si>
  <si>
    <t>PORTBURY</t>
  </si>
  <si>
    <t>Pre surface dressing patched</t>
  </si>
  <si>
    <t>U0396</t>
  </si>
  <si>
    <t xml:space="preserve">ASHEY LANE </t>
  </si>
  <si>
    <t>WRINGTON</t>
  </si>
  <si>
    <t>Surface dressed ~7 years ago, some minor patching done, maybe too much to do for in year patching?</t>
  </si>
  <si>
    <t>B3124</t>
  </si>
  <si>
    <t>CLEVEDON RD</t>
  </si>
  <si>
    <t>WALTON IN GORDANO</t>
  </si>
  <si>
    <t>Surface dressed ~7 years ago, minimal in year patching required at WiG</t>
  </si>
  <si>
    <t>Medium</t>
  </si>
  <si>
    <t>NAILSEA WALL LANE</t>
  </si>
  <si>
    <t>Patching taking place 25/26 so SD 26/27. Could be extended to cover newer section patched section adjacent to Nailsea Wall Farm (new scheme area 4417.2m2)</t>
  </si>
  <si>
    <t>WHITLEY ROAD</t>
  </si>
  <si>
    <t>C422</t>
  </si>
  <si>
    <t>WALTON STREET</t>
  </si>
  <si>
    <t>B3128</t>
  </si>
  <si>
    <t>CLARKEN COOMBE</t>
  </si>
  <si>
    <t>Patched 25/26, surface dress. SD extents extended to the Festival Way crossing. DEFER TO YR2</t>
  </si>
  <si>
    <t>U0395</t>
  </si>
  <si>
    <t>LANGFORD LANE</t>
  </si>
  <si>
    <t>LANGFORD</t>
  </si>
  <si>
    <t>Looks scruffy but perfect candidate to use a surface dressing to arrest deterioration. Minimal in year patching on worst bits</t>
  </si>
  <si>
    <t>C439</t>
  </si>
  <si>
    <t>YANLEY LANE, LONG ASHTON</t>
  </si>
  <si>
    <t>Almost all fine for SD with minor patching, check hardness. BUT area near the brook has been wet so will need patching. Measure includes Glebe Road</t>
  </si>
  <si>
    <t>U0399</t>
  </si>
  <si>
    <t>LADYMEAD LANE / JUBILEE LANE / PUDDING PIE LANE</t>
  </si>
  <si>
    <t>Good to go</t>
  </si>
  <si>
    <t>C440</t>
  </si>
  <si>
    <t>CLAVERHAM ROAD, YATTON</t>
  </si>
  <si>
    <t>YATTON</t>
  </si>
  <si>
    <t xml:space="preserve">Patched recently, SD. Some pre patching required. NEEDS DOING </t>
  </si>
  <si>
    <t>Ref</t>
  </si>
  <si>
    <t xml:space="preserve">Pre Patching Area </t>
  </si>
  <si>
    <t>Supervison Fees (4.9%)</t>
  </si>
  <si>
    <t>U0235</t>
  </si>
  <si>
    <t>CECIL ROAD</t>
  </si>
  <si>
    <t>Pre surface dressing patching</t>
  </si>
  <si>
    <t>Pre Patching</t>
  </si>
  <si>
    <t>C444</t>
  </si>
  <si>
    <t>BEACH ROAD, KEWSTOKE</t>
  </si>
  <si>
    <t>KEWSTOKE</t>
  </si>
  <si>
    <t>Patch then surface dress the entire length. Inc footway from Rocksalt restaurant to Crookes Lane. Lots of patching may be too far gone</t>
  </si>
  <si>
    <t>C404</t>
  </si>
  <si>
    <t>BARTON ROAD, WINSCOMBE</t>
  </si>
  <si>
    <t>WINSCOMBE</t>
  </si>
  <si>
    <t>Hardness test before a SD. LOTS of skid marks here. PRE PATCH YR1 DRESS YR2 ALONGSIDE MAX MILL ROAD</t>
  </si>
  <si>
    <t>Pre Patching, Associated Drainage</t>
  </si>
  <si>
    <t xml:space="preserve">C499 </t>
  </si>
  <si>
    <t>MAX MILL LANE</t>
  </si>
  <si>
    <t>Patching done here recently "B:\D&amp;E\Highways &amp; Transport\Street Scene\Highways Works\2024-25\603 - Banwell\PA - Patching\PA02 - Max Mill Lane\24-603-PA02 - Max Mill Lane" PRE PATCH YR1 DRESS YR2 ALONGSIDE BARTON RD</t>
  </si>
  <si>
    <t>WEST LANE, FELTON</t>
  </si>
  <si>
    <t xml:space="preserve">Was SD, deferred for 8/9 years, now in need of fairly extensive patching. HRA so would be good to extend the life by Surface dressing after patching. Cut short at A38 to tie in with MRN resurfacing extents and extend E to Felton Lane </t>
  </si>
  <si>
    <t>U0351</t>
  </si>
  <si>
    <t>CHESTON COOMBE</t>
  </si>
  <si>
    <t xml:space="preserve">Previously SD'd. Some patches of red </t>
  </si>
  <si>
    <t>Patching</t>
  </si>
  <si>
    <t>U0122</t>
  </si>
  <si>
    <t>PURN WAY</t>
  </si>
  <si>
    <t>BLEADON</t>
  </si>
  <si>
    <t xml:space="preserve">Section adjacent to croquet club worst - revenue patch? Looks like vehicles run onto verge </t>
  </si>
  <si>
    <t>U0410</t>
  </si>
  <si>
    <t xml:space="preserve">BROOKSIDE </t>
  </si>
  <si>
    <t>WINFORD</t>
  </si>
  <si>
    <t xml:space="preserve">some surface stripping and possibly cracking/crazing localised to ironworks? </t>
  </si>
  <si>
    <t>U0308</t>
  </si>
  <si>
    <t>LOCKING HEAD DROVE</t>
  </si>
  <si>
    <t>LOCKING</t>
  </si>
  <si>
    <t>Short section with just farm/business traffic, some structural defects and edge deterioration. Overlay or patch</t>
  </si>
  <si>
    <t>U0306</t>
  </si>
  <si>
    <t>MOOR ROAD</t>
  </si>
  <si>
    <t>Quiet lane, crosses route of Banwell Bypass. Could do with patching and possibly dressing. Some edge deterioration.</t>
  </si>
  <si>
    <t>Budget</t>
  </si>
  <si>
    <r>
      <t xml:space="preserve">Surface water ponding through out. </t>
    </r>
    <r>
      <rPr>
        <b/>
        <sz val="10"/>
        <color theme="1"/>
        <rFont val="Arial"/>
        <family val="2"/>
      </rPr>
      <t>Survey</t>
    </r>
    <r>
      <rPr>
        <sz val="10"/>
        <color theme="1"/>
        <rFont val="Arial"/>
        <family val="2"/>
      </rPr>
      <t xml:space="preserve"> from Moor Bridge ditch to Congresbury traffic lights to outfall. Survey (Jet, CCTV, GPR &amp; Topo) works to inform design. Survey £30k from advanced works planning budget.</t>
    </r>
  </si>
  <si>
    <t>Advanced works planning budget</t>
  </si>
  <si>
    <r>
      <t xml:space="preserve">Surface water coming up through road. Cause unkown. Ground water or drainage flows from highway system, Wsx system &amp; section of culvert present. Jet and </t>
    </r>
    <r>
      <rPr>
        <b/>
        <sz val="10"/>
        <color theme="1"/>
        <rFont val="Arial"/>
        <family val="2"/>
      </rPr>
      <t>survey</t>
    </r>
    <r>
      <rPr>
        <sz val="10"/>
        <color theme="1"/>
        <rFont val="Arial"/>
        <family val="2"/>
      </rPr>
      <t xml:space="preserve"> entire extents of highway drainage system and culvert. Request Wsx Survey their system. Survey £30k from advanced works planning budget.</t>
    </r>
  </si>
  <si>
    <r>
      <t xml:space="preserve">Surface water ponding. CCTV </t>
    </r>
    <r>
      <rPr>
        <b/>
        <sz val="10"/>
        <color theme="1"/>
        <rFont val="Arial"/>
        <family val="2"/>
      </rPr>
      <t>survey</t>
    </r>
    <r>
      <rPr>
        <sz val="10"/>
        <color theme="1"/>
        <rFont val="Arial"/>
        <family val="2"/>
      </rPr>
      <t xml:space="preserve"> entire extents to inform design. Survey £15k from advanced works planning budget.</t>
    </r>
  </si>
  <si>
    <r>
      <t>Reports of flooding properties 49, 139 &amp; 141.</t>
    </r>
    <r>
      <rPr>
        <sz val="10"/>
        <rFont val="Arial"/>
        <family val="2"/>
      </rPr>
      <t xml:space="preserve"> Survey £15k</t>
    </r>
    <r>
      <rPr>
        <sz val="10"/>
        <color theme="1"/>
        <rFont val="Arial"/>
        <family val="2"/>
      </rPr>
      <t>. Works £40k. Paid by capital drainage allocation.</t>
    </r>
  </si>
  <si>
    <r>
      <t xml:space="preserve">Surface water ponding through out. </t>
    </r>
    <r>
      <rPr>
        <b/>
        <sz val="10"/>
        <color theme="1"/>
        <rFont val="Arial"/>
        <family val="2"/>
      </rPr>
      <t>Survey</t>
    </r>
    <r>
      <rPr>
        <sz val="10"/>
        <color theme="1"/>
        <rFont val="Arial"/>
        <family val="2"/>
      </rPr>
      <t xml:space="preserve"> (CCTV) entire extents to inform design. Survey £20k from advanced works planning budget.</t>
    </r>
  </si>
  <si>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£80k</t>
    </r>
  </si>
  <si>
    <t>Capital drainage allocation</t>
  </si>
  <si>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£50k</t>
    </r>
  </si>
  <si>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£30k</t>
    </r>
  </si>
  <si>
    <t>Jet entire extents to inform dig down repairs. Survey: £10k. Works: £15k. Paid by capital drainage allocation.</t>
  </si>
  <si>
    <t>WALTON STREET / DOWN RD</t>
  </si>
  <si>
    <t>CCTV survey here. Jetting, CCTV and dig down crew. Estimated cost £40k. Paid by capital drainage allocation.</t>
  </si>
  <si>
    <t>Wrington Lane</t>
  </si>
  <si>
    <t>Congresbury</t>
  </si>
  <si>
    <t xml:space="preserve">50% obstruction/collapse within culvert, frequently blocked, resulting in property flooding. Repair culvert to increase surface water flows. </t>
  </si>
  <si>
    <t>Woodborough Road</t>
  </si>
  <si>
    <t>Winscombe</t>
  </si>
  <si>
    <t>Water surcharging through carriageway, cause unknown. Exploratory works and introduction of passive filtration.</t>
  </si>
  <si>
    <t>Main Road</t>
  </si>
  <si>
    <t>Cleeve</t>
  </si>
  <si>
    <r>
      <t xml:space="preserve">No highway drainage outfall or historical records to confirm. Investigation works to confirm outlet/outfall. Works on private land to install highway drainage outfall. </t>
    </r>
    <r>
      <rPr>
        <b/>
        <sz val="10"/>
        <color rgb="FF000000"/>
        <rFont val="Arial"/>
        <family val="2"/>
      </rPr>
      <t>Budget rephased from 25/26 FY.</t>
    </r>
  </si>
  <si>
    <t>Wolvershill Road</t>
  </si>
  <si>
    <t>Banwell</t>
  </si>
  <si>
    <t>Surface water flooding and multiple utility intrusions. Survey complete. Joint scheme with flood risk as HW system discharges into pond and resident discharges onto HW.</t>
  </si>
  <si>
    <t>Langford Road</t>
  </si>
  <si>
    <t>Langford</t>
  </si>
  <si>
    <t xml:space="preserve">Blocked culverts and in-filled ditches from A38 to brook resulting in property flooding. Reform ditches and clear culverts. </t>
  </si>
  <si>
    <t>Wild Country Lane</t>
  </si>
  <si>
    <t>Long Ashton</t>
  </si>
  <si>
    <t xml:space="preserve">Surface water flooding at railway bridge, preventing passage. Jet entire highway drainage system and replace off-set gullies to catch surface water flows. </t>
  </si>
  <si>
    <t>North End Road &amp;  High Street</t>
  </si>
  <si>
    <t>Yatton</t>
  </si>
  <si>
    <t>Surface water ponding throughout. Extent of works and cause unknown. Investigation works to confirm design in later FY.</t>
  </si>
  <si>
    <t>Asset management meeting with Simon Bunn</t>
  </si>
  <si>
    <t>Station Road</t>
  </si>
  <si>
    <t>St Georges</t>
  </si>
  <si>
    <t xml:space="preserve">Surface water flooding due to historical outfall currently obstructed and unknown. Unable to CCTV. Investigation works to prove/locate outfall. Alternative outfall potentially available. Liaise with design team. </t>
  </si>
  <si>
    <t>Reference budget that he hasn't spent</t>
  </si>
  <si>
    <t>Plan / Scheme Reference</t>
  </si>
  <si>
    <t>Team Leader / Officer</t>
  </si>
  <si>
    <t>Type of Scheme</t>
  </si>
  <si>
    <t>Justification</t>
  </si>
  <si>
    <t xml:space="preserve">Proposed Delivery </t>
  </si>
  <si>
    <t>Works Description &amp; Issues</t>
  </si>
  <si>
    <t>Cost Centre</t>
  </si>
  <si>
    <t>Scheme costs based on new rates</t>
  </si>
  <si>
    <t>Delivery timeframe</t>
  </si>
  <si>
    <t>Confidence</t>
  </si>
  <si>
    <t>Client Fees (4.9%)</t>
  </si>
  <si>
    <t>Design Fees (20%)</t>
  </si>
  <si>
    <t>Spreadsheet formatting order (puts the spreadsheet back to its original formatting order)</t>
  </si>
  <si>
    <t>Weston Road Retaining wall South (Phase 2)</t>
  </si>
  <si>
    <t>56W016</t>
  </si>
  <si>
    <t>Chandan Bhumpelly</t>
  </si>
  <si>
    <t>Maintenance - Structure</t>
  </si>
  <si>
    <t>In year allocation</t>
  </si>
  <si>
    <t>2026-27</t>
  </si>
  <si>
    <t>Delaminated Retaining wall Repairs and Rebuilding works</t>
  </si>
  <si>
    <t>KDH203</t>
  </si>
  <si>
    <t>2026-2027</t>
  </si>
  <si>
    <t>DPS</t>
  </si>
  <si>
    <t>Damson Road Footbridge (Over the Railway)</t>
  </si>
  <si>
    <t>Bridge Deck Drainage installation</t>
  </si>
  <si>
    <t>Lower Strode Bridge</t>
  </si>
  <si>
    <t>Silt Removal, Scour Repairs and Masonry Arch Repairs</t>
  </si>
  <si>
    <t>Urchinwood</t>
  </si>
  <si>
    <t>Masonry Arch Repairs</t>
  </si>
  <si>
    <t>Suymmerways Railway Culvert</t>
  </si>
  <si>
    <t>Culvert Parapet, Headwalls and Invert levels Repairs</t>
  </si>
  <si>
    <t>Structural Assessment Investigations</t>
  </si>
  <si>
    <t>Maintenance - Structures</t>
  </si>
  <si>
    <t>Necessary function of the Bridges &amp; Structures work area</t>
  </si>
  <si>
    <t>2026/27</t>
  </si>
  <si>
    <t>n/a</t>
  </si>
  <si>
    <t>Principal Inspection</t>
  </si>
  <si>
    <t>Road Restraint Maintenance rolling programme</t>
  </si>
  <si>
    <t>Statutory Highway Function.</t>
  </si>
  <si>
    <t>KDH214</t>
  </si>
  <si>
    <t>Money set aside for Highways Structures post Flooding</t>
  </si>
  <si>
    <t>Scheme Description</t>
  </si>
  <si>
    <t>Scheme Costs 2025-26</t>
  </si>
  <si>
    <t>Rephased Client Fees 2025-26</t>
  </si>
  <si>
    <t>Rephased Design Fees 2025-26</t>
  </si>
  <si>
    <t>Total Rephased From 2025-26</t>
  </si>
  <si>
    <t>Grand Total</t>
  </si>
  <si>
    <t>ATF4 Pedestrian Wait Times</t>
  </si>
  <si>
    <t>Mark Cogan (Jon Gall) / Adam Clarke</t>
  </si>
  <si>
    <t xml:space="preserve">Improvement </t>
  </si>
  <si>
    <t>Dft Funded Bid</t>
  </si>
  <si>
    <t xml:space="preserve">Improved detection for busy crossings to extend crossing times during heavy pedestrian demand </t>
  </si>
  <si>
    <t>??</t>
  </si>
  <si>
    <t>Centregreat</t>
  </si>
  <si>
    <t>Traffic Signal Maintenance Improvements</t>
  </si>
  <si>
    <t>Mark Cogan / Adam Clarke</t>
  </si>
  <si>
    <t>Maintenance</t>
  </si>
  <si>
    <t>Rephased funding (potentially more available)</t>
  </si>
  <si>
    <t>Ageing Poles, an Alternative solution to failed traffic loops</t>
  </si>
  <si>
    <t>KDH205 TS2601</t>
  </si>
  <si>
    <t>Private Cable Network</t>
  </si>
  <si>
    <t>Mark Cogan / Gary Clare</t>
  </si>
  <si>
    <t>Ageing cable network</t>
  </si>
  <si>
    <t xml:space="preserve">Review and Prioritise Private Cable Network maintenance improvements. </t>
  </si>
  <si>
    <t>KDH204 SL2601</t>
  </si>
  <si>
    <t>Medium/High</t>
  </si>
  <si>
    <t>Pole Bracket Replacements</t>
  </si>
  <si>
    <t>Life expired Pole Brackets</t>
  </si>
  <si>
    <t>Design/Replace life expired pole brackets in difficult locations</t>
  </si>
  <si>
    <t>KDH204 SL2602</t>
  </si>
  <si>
    <t>Column Replacements</t>
  </si>
  <si>
    <t>Structurally failed lighting columns</t>
  </si>
  <si>
    <t>Design/Replace structurally failed lighting columns and design/programme 2027028 lighting columns</t>
  </si>
  <si>
    <t>KDH204 SL2603</t>
  </si>
  <si>
    <t>Deillumination of Signs and Bollards</t>
  </si>
  <si>
    <t>Maintenance Improvement</t>
  </si>
  <si>
    <t>Replace to current standard. Energy/Maintenance reduction</t>
  </si>
  <si>
    <t>Review remaining assets, produce a priority list and deliver replacements</t>
  </si>
  <si>
    <t>KDH205 SL2604</t>
  </si>
  <si>
    <t>Scheme reference</t>
  </si>
  <si>
    <t>Scheme title</t>
  </si>
  <si>
    <t>Project description</t>
  </si>
  <si>
    <t>Ward(s)</t>
  </si>
  <si>
    <t>Parish(es)</t>
  </si>
  <si>
    <t>Contract</t>
  </si>
  <si>
    <t>Cost centre</t>
  </si>
  <si>
    <t>Cost code(s)</t>
  </si>
  <si>
    <t>Project code</t>
  </si>
  <si>
    <t>Profess code</t>
  </si>
  <si>
    <t>S106 Funding</t>
  </si>
  <si>
    <t>External funding</t>
  </si>
  <si>
    <t>ATF</t>
  </si>
  <si>
    <t>25/26 Slip</t>
  </si>
  <si>
    <t>26/27 ITB</t>
  </si>
  <si>
    <t>TOTAL FUNDING</t>
  </si>
  <si>
    <t>IT0461</t>
  </si>
  <si>
    <t>Perrings (Nailsea Active Travel_SW Circular) - Design and consultation only</t>
  </si>
  <si>
    <t>St Marys Grove to the Perrings (£265,086), The Perrings to Backwell Lake (£53,127), Youngwood Lane to Station Close (£2,300), Additional Cycle Parking at Backwell Station (£6900) Planning Ref 16/P/1677/OT2 NEEDS TO BE SPLIT INTO SEPARATE PROJECTS</t>
  </si>
  <si>
    <t>Multiple</t>
  </si>
  <si>
    <t>Nailsea</t>
  </si>
  <si>
    <t>Urban Active Travel</t>
  </si>
  <si>
    <t>IT0861</t>
  </si>
  <si>
    <t>Youngwood Lane, Nailsea - off-site highway - North Road, Hanham Way, Queens Road</t>
  </si>
  <si>
    <t>Towards capacity and highway safety improvements to North Street / Hanham Way /  Queens Road junction. 16/P/1677/OT2. Scheme to allow for the transition of Queens Road Segregated cycle route onto North Street (IT0329a) and North Road pedestrian Improvements (Scrutiny Scheme IT1396)</t>
  </si>
  <si>
    <t>Nailsea Youngwood</t>
  </si>
  <si>
    <t>Congestion management</t>
  </si>
  <si>
    <t>IT0862</t>
  </si>
  <si>
    <t>Queens Road/ Station Road Junction</t>
  </si>
  <si>
    <t>Towards capacity and highway safety improvements to junction. 16/P/1677/OT2.</t>
  </si>
  <si>
    <t>Nailsea West End</t>
  </si>
  <si>
    <t>TBA</t>
  </si>
  <si>
    <t>IT0479</t>
  </si>
  <si>
    <t>Supporting Active Travel in Winscombe, Sandford and Churchill - Sandmead Road</t>
  </si>
  <si>
    <t>Sandmead Road is a rat-run but is also used by pedestrians and cyclists attending Churchill Academy. Introduce a Modal Filter on Churchill Green and create a short section of greenway to overcome the issue of vehicular/ pedestrian conflict. Design work required on Hill Rd part of route between Winscombe &amp; Sandford.</t>
  </si>
  <si>
    <t>Banwell &amp; Winscombe</t>
  </si>
  <si>
    <t>Winscombe and Sandford</t>
  </si>
  <si>
    <t>Access to school</t>
  </si>
  <si>
    <t>IT0480</t>
  </si>
  <si>
    <t>Supporting Active Travel in Winscombe, Sandford and Churchill - crossing facilities</t>
  </si>
  <si>
    <t>Lack of crossing facilities along Hill Road/ South Croft to aid pedestrian movement from Winscombe to Sandford. Undertake a traffic count and gap assessment in line with Assessment of Walked Routes to School guidance.</t>
  </si>
  <si>
    <t>IT0271b</t>
  </si>
  <si>
    <t>Weston Station Active Travel Gateway /  Francis Fox Rbt pedestrian and cycle crossing improvements and Station Rd cycle facilities LCWIP Weston Cycle Route 3/4</t>
  </si>
  <si>
    <t>Project to raise the parapet across Hildesheim Bridge to make the route accessible and safe for cycle use.</t>
  </si>
  <si>
    <t>Weston-Super-Mare Central</t>
  </si>
  <si>
    <t>Weston-Super-Mare</t>
  </si>
  <si>
    <t>Rail/Access to rail</t>
  </si>
  <si>
    <t>IT0271</t>
  </si>
  <si>
    <t>IT0329a</t>
  </si>
  <si>
    <t>LCWIP Cycle Route Nailsea 2: Queens Rd Segregated cycling route</t>
  </si>
  <si>
    <t xml:space="preserve">Provide segregated path along north side of Queens Road between North St and Coombe Rd. Topographical Survey, Design, Costing, Consultation </t>
  </si>
  <si>
    <t>IT0329</t>
  </si>
  <si>
    <t>IT0329b</t>
  </si>
  <si>
    <t>LCWIP Cycle Route Nailsea 2: Mizzymead Rd</t>
  </si>
  <si>
    <t xml:space="preserve">Provide segregated path along Mizzymead Rd between Hillcrest Rd and High Street. Topographical Survey, Design, Costing, Consultation </t>
  </si>
  <si>
    <t>IT1478</t>
  </si>
  <si>
    <t>J21 - A370 Smallway Road Safety Route Review</t>
  </si>
  <si>
    <t>2021-23 Route Analysis identified multiple collisions along a 7Km route of the A370 between J21 and Smallway signalised junction at Congresbury. This project seeks to investigate and design road safety improvements along the route to reduce the reoccurrence and severity of similar collisions taking place.</t>
  </si>
  <si>
    <t>Banwell &amp; Winscombe / Congresbury &amp; Puxton</t>
  </si>
  <si>
    <t>Banwell / Puxton / Congresbury</t>
  </si>
  <si>
    <t>NA</t>
  </si>
  <si>
    <t>Road Safety</t>
  </si>
  <si>
    <t>IT1005</t>
  </si>
  <si>
    <t>Earlham Grove Liveable Neighbourhood</t>
  </si>
  <si>
    <t>Liveable neighbourhood project to build on upcoming adjacent Liveable Neighbourhood, further reducing through traffic to both areas, improvements for safe school travel to Ashcombe Primary. Potential to spread Liveable Neighbourhood between Ashcombe Rd and Chesham Road South. Scheme to include 20mph speed limit (previously to be delivered by Weston Central Residential 20 speed limit</t>
  </si>
  <si>
    <t>Weston-Super-Mare Milton</t>
  </si>
  <si>
    <t>Liveable Neighbourhood</t>
  </si>
  <si>
    <t>ITx002</t>
  </si>
  <si>
    <t>Road Safety - Investigation and design work for future years</t>
  </si>
  <si>
    <t>Analysis of 2025 collision data to identify trends and bring forward proposals for future interventions</t>
  </si>
  <si>
    <t>H&amp;T000282</t>
  </si>
  <si>
    <t>IT0325</t>
  </si>
  <si>
    <t>The Causeway/ Hanham Way, Nailsea. Traffic reduction (Scrutiny schemes)</t>
  </si>
  <si>
    <t>To introduce a reduction in the speed and volume of traffic using the route. Future funding may be available from S106 to introduce any agreed physical works.</t>
  </si>
  <si>
    <t>Rural active travel</t>
  </si>
  <si>
    <t>iRAP Programme of collision reductions on Principal Highway Network</t>
  </si>
  <si>
    <t>A370 Congresbuy to Backwell Safety Review and outline intervention design</t>
  </si>
  <si>
    <t>IT0270a</t>
  </si>
  <si>
    <t>Weston Town Centre to  Worle &amp; Locking Castle (LCWIP Weston Cycle Routes 1 &amp; 2)</t>
  </si>
  <si>
    <t>Extending Milton Road cycle route into town. Options include using the Milton Road cycle or extend Baker St cycle route to provide a cycle contraflow on Meadow Street. Include what the traffic management proposals to reduce traffic and improve cycle permeability out of town</t>
  </si>
  <si>
    <t>IT0270b</t>
  </si>
  <si>
    <t>Review speed limit on Beaufighter Road and improvements to crossing point. Include declutter and vegetation clearance on path towards A370. Topographical Survey at junction, Design, costing, consultation</t>
  </si>
  <si>
    <t>IT1465</t>
  </si>
  <si>
    <t xml:space="preserve">Improve signing of Brean Down Way </t>
  </si>
  <si>
    <t>Improve the signing of the BDW from Weston Grand Pier to authority boundary (River Axe). Encourage SCC to sign their section. Current signing is low key (some junctions only stickers) and only refers to NCN33, not the 'Brean Down Way' or destinations. This gives the route a low profile, yet it should be one of our flagship routes.</t>
  </si>
  <si>
    <t>Weston-super-Mare</t>
  </si>
  <si>
    <t>IT0263</t>
  </si>
  <si>
    <t>TROs for school keep clear markings - To be delivered in phases</t>
  </si>
  <si>
    <t>Review and remarking of school keep clear markings with the objective of eventually having all school keep clears supported by a TRO and properly signed and lined so they may be enforced. Prioritise maintenance programme and easy wins with others to follow later</t>
  </si>
  <si>
    <t>District Wide</t>
  </si>
  <si>
    <t>NSEC</t>
  </si>
  <si>
    <t>H&amp;T000301</t>
  </si>
  <si>
    <t>IT0232</t>
  </si>
  <si>
    <t>Weston Central Residents Parking Scheme (RPS) physical works</t>
  </si>
  <si>
    <t>Review of Resident Parking Scheme in central Weston-super-Mare</t>
  </si>
  <si>
    <t>Weston-super-Mare Central</t>
  </si>
  <si>
    <t>Parking Management  (&gt;£5k)</t>
  </si>
  <si>
    <t>H&amp;T000315</t>
  </si>
  <si>
    <t>LEVI site assessments</t>
  </si>
  <si>
    <t>Engineer support for the role out of EV charging points across the district</t>
  </si>
  <si>
    <t>E-mobility</t>
  </si>
  <si>
    <t xml:space="preserve"> Contract </t>
  </si>
  <si>
    <t xml:space="preserve"> 25/26 Slip </t>
  </si>
  <si>
    <t xml:space="preserve"> 26/27ITB Funding </t>
  </si>
  <si>
    <t xml:space="preserve"> TOTAL FUNDING </t>
  </si>
  <si>
    <t>IT0271a</t>
  </si>
  <si>
    <t>Hildesheim Bridge Puffin Crossing</t>
  </si>
  <si>
    <t>To provide a new signalised crossing to improve pedestrian and cycle connectivity to Weston-super-Mare Railway Station</t>
  </si>
  <si>
    <t>IT0463</t>
  </si>
  <si>
    <t>ATF4: Signalised Crossings: Pedestrian Wait Times Reduction. Budget to be transferred to Signals Team (Mark Cogan)</t>
  </si>
  <si>
    <t>Reduced pedestrian wait times at signalised crossings for pedestrians. Scheme substantially completed 2023/24 with remaining budget to be moved to Signals for further phase to be completed in 26/27.</t>
  </si>
  <si>
    <t>IT0225a</t>
  </si>
  <si>
    <t>Upgrade of EATF1 works to permanent solutions - St. Johns, Clevedon</t>
  </si>
  <si>
    <t>Adjust School Keep Clears around build-out and remove planters</t>
  </si>
  <si>
    <t>IT0225b</t>
  </si>
  <si>
    <t>Upgrade of EATF1 works to permanent solutions - Highdown, Portishead</t>
  </si>
  <si>
    <t>Remove Planters, introduce junction narrowing on Tower Road, introduce footpath wher people walk over the mud on unction with The Downs</t>
  </si>
  <si>
    <t> </t>
  </si>
  <si>
    <t>IT0225c</t>
  </si>
  <si>
    <t>Upgrade of EATF1 works to permanent solutions - Worle Village, Worle</t>
  </si>
  <si>
    <t>Make one-way permanent, remove planters, tighten Bellmouth of Hill Road, introduce parking restrictions (absorb into PRaMS) to keep footpath clear, trim or remove school hedge, adjust School Keep Clear TRO to reflect what is on site.</t>
  </si>
  <si>
    <t>IT0515</t>
  </si>
  <si>
    <t>A371 Knightcott Road: Weston-super-Mare to Banwell Missing Link (LCWIP Weston-super-Mare Cycling Route 4)</t>
  </si>
  <si>
    <t>The scheme fills a missing link in the strategic cycling network that will emerge between existing infrastructure to the west and committed infrastructure to the east on the A371 between Weston-super Mare and Banwell. Scheme to be delivered as part of Banwell by-pass implimentation.</t>
  </si>
  <si>
    <t>IT0331</t>
  </si>
  <si>
    <t>ATF5 - Festival Way (Golden Valley Bridleway)</t>
  </si>
  <si>
    <t>- Improve existing narrow section of Festival Way (Golden Valley), and connections from - Trendlewood Way to Nailsea High Street</t>
  </si>
  <si>
    <t>IT1253</t>
  </si>
  <si>
    <t>Clevedon Seafront (Phase 2)</t>
  </si>
  <si>
    <t>Provision of public realm improvements including planters, signage and seating</t>
  </si>
  <si>
    <t>Clevedon Walton</t>
  </si>
  <si>
    <t>Clevedon</t>
  </si>
  <si>
    <t>Public realm</t>
  </si>
  <si>
    <t>KDH304</t>
  </si>
  <si>
    <t>H&amp;T000405</t>
  </si>
  <si>
    <t>IT1349</t>
  </si>
  <si>
    <t>Road Safety - Weston-super-Mare A370 Speed Limit improvements (Phase 1 and Phase 2 combined)</t>
  </si>
  <si>
    <t>Review of speed limits on the main dual carriageway into Weston-super-Mare to make more consistent and reduce number and severity of accidents. Unfunded pending consultation.</t>
  </si>
  <si>
    <t>DPS/ NSEC</t>
  </si>
  <si>
    <t>Speed reduction</t>
  </si>
  <si>
    <t>IT1468</t>
  </si>
  <si>
    <t>NSC Electric Vehicle Charging Infrastructure. Do not show scheme on ITB Monitor as being managed by STARS Team</t>
  </si>
  <si>
    <t>Support funding for NSC EV Fleet chargers.</t>
  </si>
  <si>
    <t>IT1366</t>
  </si>
  <si>
    <t>Review Prohibition of Cycling Traffic Orders and barriers</t>
  </si>
  <si>
    <t>Review all the traffic orders and barriers which prohibit cycling in North Somerset with a view to revoking those where we want to now encourage more cycling.</t>
  </si>
  <si>
    <t>ITXXX</t>
  </si>
  <si>
    <t>Scrutiny Panel Choice Schemes</t>
  </si>
  <si>
    <t>Scrutiny Priority Schemes - Budget to be proportioned between schemes and this line in the programme to be deleted</t>
  </si>
  <si>
    <t>IT1339</t>
  </si>
  <si>
    <t>Milton Park School Street</t>
  </si>
  <si>
    <t>Improve pedestrian access to school</t>
  </si>
  <si>
    <t>Weston-super-Mare Milton</t>
  </si>
  <si>
    <t>IT1568</t>
  </si>
  <si>
    <t>B3128 Slip Road from A370 /  Access Road to Park &amp; Ride</t>
  </si>
  <si>
    <t>The slip road from the A370 long Ashton Bypass travelling towards the P&amp;R site has experienced a number of colisions some of them head on with drivers travelling south west bound from the A370 crossing the double white centre lines and coliding with vehicles travelling in the opposite direction</t>
  </si>
  <si>
    <t>ITx005</t>
  </si>
  <si>
    <t>Pedestrian drop kerbs</t>
  </si>
  <si>
    <t>Introduction of pedestrian dropped kerbs in areas of high demand where there are currently none provided. Programme to include Crockern School and Salisbury Terrace.</t>
  </si>
  <si>
    <t>ITx004</t>
  </si>
  <si>
    <t>PRaMS</t>
  </si>
  <si>
    <t>Parking Restrictions and Minor Schemes.</t>
  </si>
  <si>
    <t>PRaMS  (&lt; £5k)</t>
  </si>
  <si>
    <t>IT1294</t>
  </si>
  <si>
    <t>Birnbeck Road Madeira Road junction</t>
  </si>
  <si>
    <t>No drop kerbs on main pedestrian route and road safety issue with 3 cyclists and 1 pedestrian injured over 5 year period. Propose to square up the junction and provide tactile crossing - refer to sketch on project folder. On pier to pier cycle route.</t>
  </si>
  <si>
    <t>DPS or NSEC</t>
  </si>
  <si>
    <t>IT0526</t>
  </si>
  <si>
    <t>Castlemead Pedestrian facilities</t>
  </si>
  <si>
    <t>There are no dropped kerbs or tactile paviours at this junction. Scheme to be delivered in conjunction with maintenance scheme.</t>
  </si>
  <si>
    <t>DPS/NSEC</t>
  </si>
  <si>
    <t>Cycleway maintenance</t>
  </si>
  <si>
    <t>Previous revenue budget - decision made to capitalise. Managed by STARS Team - DO not show on ITB Monitor</t>
  </si>
  <si>
    <t>Maintenance issue</t>
  </si>
  <si>
    <t>IT0425</t>
  </si>
  <si>
    <t>Winford C of E Primary School Pedestrian Improvements.</t>
  </si>
  <si>
    <t xml:space="preserve">To provide parking restrictions, street lighting and zebra crossings in village to improve perception of safety for children accessing school. </t>
  </si>
  <si>
    <t>IT1396</t>
  </si>
  <si>
    <t>North Street, Nailsea dropped kerbs (Scrutiny schemes)</t>
  </si>
  <si>
    <t>Review the whole length of the North Street for tactile pavers and dropped kerbs either there is not provision to get across to the Buchers in addition Hanham way has juction with no facilities (To be picked up as part of IT0861 (S106) Members priority scheme</t>
  </si>
  <si>
    <t>IT1281</t>
  </si>
  <si>
    <t>Pedestrian Facilities, Old Church Road, Clevedon (Scrutiny schemes)</t>
  </si>
  <si>
    <t>To provide improved pedestrian access to the Salthouse Fields (Scrutiny Scheme )</t>
  </si>
  <si>
    <t>IT1272</t>
  </si>
  <si>
    <t>The Woolpack, St. Georges (Scrutiny schemes)</t>
  </si>
  <si>
    <t>To reduce the speed of traffic through the village and improve the safety of the roundabout (Members Priority Scheme) Incorporate IT1282 Speeding Issues Shepherds Way St Georges</t>
  </si>
  <si>
    <t>Inflation/ contingency</t>
  </si>
  <si>
    <t>To fund overspends</t>
  </si>
  <si>
    <t>Footway Resurfacing</t>
  </si>
  <si>
    <t>Reactive Patching</t>
  </si>
  <si>
    <t>Capital Drainage Allocation</t>
  </si>
  <si>
    <t>Highway Maintenance and ITB Scheme List 26/27</t>
  </si>
  <si>
    <t>Financial Year</t>
  </si>
  <si>
    <t>Highway Maintenance Block - Baseline</t>
  </si>
  <si>
    <t>Highway Maintenance Block - Incentive</t>
  </si>
  <si>
    <t>Local Transport Grant</t>
  </si>
  <si>
    <t>Active Travel Capability Fund</t>
  </si>
  <si>
    <t>2027/28</t>
  </si>
  <si>
    <t>2028/29</t>
  </si>
  <si>
    <t>2029/30</t>
  </si>
  <si>
    <t xml:space="preserve">Total </t>
  </si>
  <si>
    <t>Funding</t>
  </si>
  <si>
    <t>Integrated Transport</t>
  </si>
  <si>
    <t>Carriageway Patching</t>
  </si>
  <si>
    <t>Considered in 24/25</t>
  </si>
  <si>
    <t>Resurface. Close to Winterstoke Road</t>
  </si>
  <si>
    <t>Structural Resurfacing</t>
  </si>
  <si>
    <t>LINK - BAILDON ROAD</t>
  </si>
  <si>
    <t>LINK -  Wales &amp; West Utilities gas works</t>
  </si>
  <si>
    <t xml:space="preserve">Carriageway Resurfacing </t>
  </si>
  <si>
    <t xml:space="preserve">Failed block paving in Weston Village </t>
  </si>
  <si>
    <t>Scheme Deferred from 25/26 programme, additional budget required</t>
  </si>
  <si>
    <t>Cored?</t>
  </si>
  <si>
    <t>Specialist surveys</t>
  </si>
  <si>
    <t>OVERVIEW</t>
  </si>
  <si>
    <r>
      <t xml:space="preserve">Resurface. AO reccomendation. FW outside 53 to be included </t>
    </r>
    <r>
      <rPr>
        <sz val="10"/>
        <color rgb="FF004E9A"/>
        <rFont val="Arial"/>
        <family val="2"/>
      </rPr>
      <t xml:space="preserve">LINK - ITB liveable neighbourhood scheme proposed here </t>
    </r>
  </si>
  <si>
    <r>
      <t xml:space="preserve">See core report from 2017. Recon may be necessary due to low CBR and inconsistent capping layer. Costs based on £85/m2 Phase 1 Locking Rd to Birchwood Ave £254k Phase 2 Birchwood Ave to Ashcombe Rd £304k </t>
    </r>
    <r>
      <rPr>
        <sz val="10"/>
        <color rgb="FF004E9A"/>
        <rFont val="Arial"/>
        <family val="2"/>
      </rPr>
      <t>ITB liveable neighbourhood proposed</t>
    </r>
  </si>
  <si>
    <r>
      <t xml:space="preserve">Too far gone for SD and deteriorating fast. Inlay </t>
    </r>
    <r>
      <rPr>
        <sz val="10"/>
        <color rgb="FF004E9A"/>
        <rFont val="Arial"/>
        <family val="2"/>
      </rPr>
      <t>ITB scheme on junction with PILL ROAD</t>
    </r>
    <r>
      <rPr>
        <sz val="10"/>
        <color theme="1"/>
        <rFont val="Arial"/>
        <family val="2"/>
      </rPr>
      <t xml:space="preserve"> CHECK EXTENTS snip saved in 26-27 folder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</si>
</sst>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quot;£&quot;#,##0.00"/>
    <numFmt numFmtId="165" formatCode="_-&quot;£&quot;* #,##0_-;\-&quot;£&quot;* #,##0_-;_-&quot;£&quot;* &quot;-&quot;??_-;_-@_-"/>
  </numFmts>
  <fonts count="31" x14ac:knownFonts="1">
    <font>
      <sz val="12"/>
      <color theme="1"/>
      <name val="Arial"/>
      <family val="2"/>
    </font>
    <font>
      <b/>
      <sz val="10"/>
      <color rgb="FF000000"/>
      <name val="Arial"/>
      <family val="2"/>
    </font>
    <font>
      <sz val="10"/>
      <color rgb="FF000000"/>
      <name val="Arial"/>
      <family val="2"/>
    </font>
    <font>
      <sz val="10"/>
      <color theme="1"/>
      <name val="Arial"/>
      <family val="2"/>
    </font>
    <font>
      <sz val="11"/>
      <color theme="1"/>
      <name val="Aptos Narrow"/>
      <family val="2"/>
      <scheme val="minor"/>
    </font>
    <font>
      <b/>
      <sz val="10"/>
      <color theme="1"/>
      <name val="Arial"/>
      <family val="2"/>
    </font>
    <font>
      <sz val="12"/>
      <color theme="1"/>
      <name val="Arial"/>
      <family val="2"/>
    </font>
    <font>
      <sz val="10"/>
      <name val="Arial"/>
      <family val="2"/>
    </font>
    <font>
      <b/>
      <sz val="12"/>
      <name val="Arial"/>
      <family val="2"/>
    </font>
    <font>
      <b/>
      <sz val="16"/>
      <name val="Arial"/>
      <family val="2"/>
    </font>
    <font>
      <sz val="11"/>
      <name val="Arial"/>
      <family val="2"/>
    </font>
    <font>
      <sz val="12"/>
      <name val="Arial"/>
      <family val="2"/>
    </font>
    <font>
      <b/>
      <sz val="14"/>
      <name val="Arial"/>
      <family val="2"/>
    </font>
    <font>
      <b/>
      <sz val="14"/>
      <color indexed="81"/>
      <name val="Tahoma"/>
      <family val="2"/>
    </font>
    <font>
      <sz val="9"/>
      <color indexed="81"/>
      <name val="Tahoma"/>
      <family val="2"/>
    </font>
    <font>
      <sz val="14"/>
      <color indexed="81"/>
      <name val="Tahoma"/>
      <family val="2"/>
    </font>
    <font>
      <b/>
      <sz val="12"/>
      <color theme="1"/>
      <name val="Arial"/>
      <family val="2"/>
    </font>
    <font>
      <u/>
      <sz val="12"/>
      <color theme="10"/>
      <name val="Arial"/>
      <family val="2"/>
    </font>
    <font>
      <b/>
      <sz val="9"/>
      <color indexed="81"/>
      <name val="Tahoma"/>
      <family val="2"/>
    </font>
    <font>
      <b/>
      <sz val="11"/>
      <color rgb="FF000000"/>
      <name val="Arial"/>
      <family val="2"/>
    </font>
    <font>
      <b/>
      <sz val="11"/>
      <color theme="1"/>
      <name val="Arial"/>
      <family val="2"/>
    </font>
    <font>
      <sz val="12"/>
      <color rgb="FF212529"/>
      <name val="Segoe UI"/>
      <family val="2"/>
    </font>
    <font>
      <b/>
      <sz val="14"/>
      <color theme="1"/>
      <name val="Arial"/>
      <family val="2"/>
    </font>
    <font>
      <b/>
      <sz val="16"/>
      <color theme="1"/>
      <name val="Arial"/>
      <family val="2"/>
    </font>
    <font>
      <sz val="11"/>
      <color rgb="FF000000"/>
      <name val="Arial"/>
      <family val="2"/>
    </font>
    <font>
      <b/>
      <sz val="12"/>
      <color rgb="FF000000"/>
      <name val="Arial"/>
      <family val="2"/>
    </font>
    <font>
      <sz val="12"/>
      <color rgb="FF000000"/>
      <name val="Arial"/>
      <family val="2"/>
    </font>
    <font>
      <sz val="12"/>
      <color rgb="FF000000"/>
      <name val="Aptos Narrow"/>
      <family val="2"/>
    </font>
    <font>
      <b/>
      <sz val="12"/>
      <color theme="10"/>
      <name val="Arial"/>
      <family val="2"/>
    </font>
    <font>
      <sz val="10"/>
      <color rgb="FF004E9A"/>
      <name val="Arial"/>
      <family val="2"/>
    </font>
    <font>
      <b/>
      <sz val="12"/>
      <color theme="4"/>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BE2D5"/>
        <bgColor rgb="FF000000"/>
      </patternFill>
    </fill>
    <fill>
      <patternFill patternType="solid">
        <fgColor rgb="FFC0E6F5"/>
        <bgColor rgb="FF000000"/>
      </patternFill>
    </fill>
    <fill>
      <patternFill patternType="solid">
        <fgColor theme="2" tint="-9.9978637043366805E-2"/>
        <bgColor indexed="64"/>
      </patternFill>
    </fill>
    <fill>
      <patternFill patternType="solid">
        <fgColor theme="6" tint="0.79998168889431442"/>
        <bgColor rgb="FF000000"/>
      </patternFill>
    </fill>
    <fill>
      <patternFill patternType="solid">
        <fgColor theme="4" tint="0.79998168889431442"/>
        <bgColor indexed="64"/>
      </patternFill>
    </fill>
    <fill>
      <patternFill patternType="solid">
        <fgColor theme="2" tint="-9.9978637043366805E-2"/>
        <bgColor rgb="FF000000"/>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0"/>
    <xf numFmtId="0" fontId="7" fillId="0" borderId="0"/>
    <xf numFmtId="44" fontId="7" fillId="0" borderId="0" applyFont="0" applyFill="0" applyBorder="0" applyAlignment="0" applyProtection="0"/>
    <xf numFmtId="44" fontId="6" fillId="0" borderId="0" applyFont="0" applyFill="0" applyBorder="0" applyAlignment="0" applyProtection="0"/>
    <xf numFmtId="0" fontId="17" fillId="0" borderId="0" applyNumberFormat="0" applyFill="0" applyBorder="0" applyAlignment="0" applyProtection="0"/>
    <xf numFmtId="43" fontId="6" fillId="0" borderId="0" applyFont="0" applyFill="0" applyBorder="0" applyAlignment="0" applyProtection="0"/>
  </cellStyleXfs>
  <cellXfs count="13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164" fontId="3" fillId="0" borderId="1" xfId="0" applyNumberFormat="1" applyFont="1" applyBorder="1" applyAlignment="1">
      <alignment horizontal="left" vertical="top"/>
    </xf>
    <xf numFmtId="164" fontId="3" fillId="0" borderId="0" xfId="0" applyNumberFormat="1" applyFont="1" applyAlignment="1">
      <alignment wrapText="1"/>
    </xf>
    <xf numFmtId="164" fontId="3" fillId="2" borderId="1" xfId="0" applyNumberFormat="1" applyFont="1" applyFill="1" applyBorder="1" applyAlignment="1">
      <alignment horizontal="left" vertical="top"/>
    </xf>
    <xf numFmtId="164" fontId="3" fillId="3" borderId="1" xfId="0" applyNumberFormat="1" applyFont="1" applyFill="1" applyBorder="1" applyAlignment="1">
      <alignment horizontal="left" vertical="top"/>
    </xf>
    <xf numFmtId="0" fontId="0" fillId="0" borderId="1" xfId="0" applyBorder="1"/>
    <xf numFmtId="0" fontId="2" fillId="0" borderId="0" xfId="0" applyFont="1" applyAlignment="1">
      <alignment horizontal="left" vertical="top" wrapText="1"/>
    </xf>
    <xf numFmtId="3" fontId="3" fillId="0" borderId="1" xfId="0" applyNumberFormat="1" applyFont="1" applyBorder="1" applyAlignment="1">
      <alignment horizontal="left" vertical="top" wrapText="1"/>
    </xf>
    <xf numFmtId="3" fontId="0" fillId="0" borderId="0" xfId="0" applyNumberFormat="1" applyAlignment="1">
      <alignment wrapText="1"/>
    </xf>
    <xf numFmtId="4" fontId="2" fillId="0" borderId="1" xfId="0" applyNumberFormat="1" applyFont="1" applyBorder="1" applyAlignment="1">
      <alignment horizontal="left" vertical="top" wrapText="1"/>
    </xf>
    <xf numFmtId="4" fontId="0" fillId="0" borderId="0" xfId="0" applyNumberFormat="1" applyAlignment="1">
      <alignment wrapText="1"/>
    </xf>
    <xf numFmtId="4" fontId="2" fillId="0" borderId="0" xfId="0" applyNumberFormat="1" applyFont="1" applyAlignment="1">
      <alignment horizontal="left" vertical="top" wrapText="1"/>
    </xf>
    <xf numFmtId="0" fontId="3" fillId="0" borderId="0" xfId="0" applyFont="1" applyAlignment="1">
      <alignment horizontal="left" vertical="top" wrapText="1"/>
    </xf>
    <xf numFmtId="3" fontId="3" fillId="0" borderId="0" xfId="0" applyNumberFormat="1" applyFont="1" applyAlignment="1">
      <alignment horizontal="left" vertical="top" wrapText="1"/>
    </xf>
    <xf numFmtId="0" fontId="3" fillId="0" borderId="0" xfId="0" applyFont="1" applyAlignment="1">
      <alignment horizontal="left" vertical="top"/>
    </xf>
    <xf numFmtId="164" fontId="3" fillId="0" borderId="0" xfId="0" applyNumberFormat="1" applyFont="1" applyAlignment="1">
      <alignment horizontal="left" vertical="top"/>
    </xf>
    <xf numFmtId="0" fontId="1" fillId="0" borderId="0" xfId="0" applyFont="1" applyAlignment="1">
      <alignment horizontal="center" vertical="center" wrapText="1"/>
    </xf>
    <xf numFmtId="0" fontId="8" fillId="0" borderId="1" xfId="2" applyFont="1" applyBorder="1" applyAlignment="1" applyProtection="1">
      <alignment horizontal="center" vertical="center" wrapText="1"/>
      <protection locked="0"/>
    </xf>
    <xf numFmtId="0" fontId="8" fillId="0" borderId="1" xfId="2" applyFont="1" applyBorder="1" applyAlignment="1">
      <alignment horizontal="center" vertical="center" wrapText="1"/>
    </xf>
    <xf numFmtId="49" fontId="8" fillId="0" borderId="1" xfId="3" applyNumberFormat="1" applyFont="1" applyFill="1" applyBorder="1" applyAlignment="1">
      <alignment horizontal="center" vertical="center" wrapText="1"/>
    </xf>
    <xf numFmtId="164" fontId="8" fillId="0" borderId="1" xfId="2" applyNumberFormat="1"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center" vertical="top" wrapText="1"/>
    </xf>
    <xf numFmtId="0" fontId="0" fillId="0" borderId="1" xfId="0" applyBorder="1" applyAlignment="1">
      <alignment horizontal="center" vertical="center"/>
    </xf>
    <xf numFmtId="0" fontId="11" fillId="0" borderId="1" xfId="2" applyFont="1" applyBorder="1" applyAlignment="1">
      <alignment horizontal="left" vertical="top" wrapText="1"/>
    </xf>
    <xf numFmtId="164" fontId="11" fillId="0" borderId="1" xfId="3" applyNumberFormat="1" applyFont="1" applyFill="1" applyBorder="1" applyAlignment="1">
      <alignment horizontal="center" vertical="center" wrapText="1"/>
    </xf>
    <xf numFmtId="165" fontId="11" fillId="0" borderId="1" xfId="3" applyNumberFormat="1" applyFont="1" applyFill="1" applyBorder="1" applyAlignment="1">
      <alignment horizontal="center" vertical="center" wrapText="1"/>
    </xf>
    <xf numFmtId="0" fontId="11" fillId="0" borderId="1" xfId="3" applyNumberFormat="1" applyFont="1" applyFill="1" applyBorder="1" applyAlignment="1">
      <alignment horizontal="center" vertical="center" wrapText="1"/>
    </xf>
    <xf numFmtId="0" fontId="11" fillId="0" borderId="1" xfId="2"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4" xfId="2" applyFont="1" applyBorder="1" applyAlignment="1" applyProtection="1">
      <alignment horizontal="center" vertical="center" wrapText="1"/>
      <protection locked="0"/>
    </xf>
    <xf numFmtId="0" fontId="11" fillId="0" borderId="4" xfId="2" applyFont="1" applyBorder="1" applyAlignment="1">
      <alignment horizontal="center" vertical="center" wrapText="1"/>
    </xf>
    <xf numFmtId="164" fontId="11" fillId="0" borderId="4" xfId="3" applyNumberFormat="1" applyFont="1" applyFill="1" applyBorder="1" applyAlignment="1">
      <alignment horizontal="center" vertical="center" wrapText="1"/>
    </xf>
    <xf numFmtId="165" fontId="11" fillId="0" borderId="4" xfId="3" applyNumberFormat="1" applyFont="1" applyFill="1" applyBorder="1" applyAlignment="1">
      <alignment horizontal="center" vertical="center" wrapText="1"/>
    </xf>
    <xf numFmtId="0" fontId="8" fillId="0" borderId="0" xfId="2" applyFont="1" applyAlignment="1" applyProtection="1">
      <alignment horizontal="center" vertical="center" wrapText="1"/>
      <protection locked="0"/>
    </xf>
    <xf numFmtId="0" fontId="11" fillId="0" borderId="0" xfId="2" applyFont="1" applyAlignment="1">
      <alignment horizontal="center" vertical="center" wrapText="1"/>
    </xf>
    <xf numFmtId="0" fontId="11" fillId="0" borderId="0" xfId="2" applyFont="1" applyAlignment="1">
      <alignment horizontal="center" vertical="top" wrapText="1"/>
    </xf>
    <xf numFmtId="0" fontId="0" fillId="0" borderId="0" xfId="0" applyAlignment="1">
      <alignment horizontal="center" vertical="center"/>
    </xf>
    <xf numFmtId="0" fontId="11" fillId="0" borderId="0" xfId="2" applyFont="1" applyAlignment="1">
      <alignment horizontal="left" vertical="top" wrapText="1"/>
    </xf>
    <xf numFmtId="164" fontId="11" fillId="0" borderId="0" xfId="3" applyNumberFormat="1" applyFont="1" applyFill="1" applyBorder="1" applyAlignment="1">
      <alignment horizontal="center" vertical="center" wrapText="1"/>
    </xf>
    <xf numFmtId="165" fontId="11" fillId="0" borderId="0" xfId="3" applyNumberFormat="1" applyFont="1" applyFill="1" applyBorder="1" applyAlignment="1">
      <alignment horizontal="center" vertical="center" wrapText="1"/>
    </xf>
    <xf numFmtId="0" fontId="11" fillId="0" borderId="4" xfId="2" applyFont="1" applyBorder="1" applyAlignment="1">
      <alignment horizontal="center" vertical="top" wrapText="1"/>
    </xf>
    <xf numFmtId="0" fontId="0" fillId="0" borderId="4" xfId="0" applyBorder="1" applyAlignment="1">
      <alignment horizontal="center" vertical="center"/>
    </xf>
    <xf numFmtId="0" fontId="11" fillId="0" borderId="4" xfId="2" applyFont="1" applyBorder="1" applyAlignment="1">
      <alignment horizontal="left" vertical="top" wrapText="1"/>
    </xf>
    <xf numFmtId="0" fontId="6" fillId="0" borderId="0" xfId="0" applyFont="1"/>
    <xf numFmtId="0" fontId="8" fillId="4" borderId="0" xfId="2" applyFont="1" applyFill="1" applyAlignment="1">
      <alignment horizontal="center" vertical="center" wrapText="1"/>
    </xf>
    <xf numFmtId="0" fontId="12" fillId="0" borderId="0" xfId="2" applyFont="1" applyAlignment="1" applyProtection="1">
      <alignment vertical="center" wrapText="1"/>
      <protection locked="0"/>
    </xf>
    <xf numFmtId="0" fontId="9" fillId="0" borderId="0" xfId="2" applyFont="1" applyAlignment="1" applyProtection="1">
      <alignment vertical="center"/>
      <protection locked="0"/>
    </xf>
    <xf numFmtId="0" fontId="9" fillId="0" borderId="0" xfId="2" applyFont="1" applyAlignment="1" applyProtection="1">
      <alignment horizontal="center" vertical="center"/>
      <protection locked="0"/>
    </xf>
    <xf numFmtId="164" fontId="11" fillId="0" borderId="0" xfId="2" applyNumberFormat="1" applyFont="1" applyAlignment="1">
      <alignment horizontal="center" vertical="center" wrapText="1"/>
    </xf>
    <xf numFmtId="165" fontId="11" fillId="0" borderId="0" xfId="2" applyNumberFormat="1" applyFont="1" applyAlignment="1">
      <alignment horizontal="center" vertical="center" wrapText="1"/>
    </xf>
    <xf numFmtId="0" fontId="10" fillId="0" borderId="0" xfId="3" applyNumberFormat="1" applyFont="1" applyFill="1" applyBorder="1" applyAlignment="1">
      <alignment horizontal="center" vertical="center" wrapText="1"/>
    </xf>
    <xf numFmtId="164" fontId="0" fillId="2" borderId="1" xfId="0" applyNumberFormat="1" applyFill="1" applyBorder="1" applyAlignment="1">
      <alignment horizontal="left" vertical="top"/>
    </xf>
    <xf numFmtId="0" fontId="16" fillId="0" borderId="0" xfId="0" applyFont="1"/>
    <xf numFmtId="164" fontId="5" fillId="0" borderId="0" xfId="0" applyNumberFormat="1" applyFont="1" applyAlignment="1">
      <alignment horizontal="left" vertical="top"/>
    </xf>
    <xf numFmtId="164" fontId="0" fillId="0" borderId="1" xfId="0" applyNumberFormat="1" applyBorder="1" applyAlignment="1">
      <alignment horizontal="left" vertical="top"/>
    </xf>
    <xf numFmtId="164" fontId="0" fillId="0" borderId="1" xfId="0" applyNumberFormat="1" applyBorder="1" applyAlignment="1">
      <alignment horizontal="center" vertical="center"/>
    </xf>
    <xf numFmtId="164" fontId="0" fillId="2" borderId="1" xfId="0" applyNumberFormat="1" applyFill="1" applyBorder="1" applyAlignment="1">
      <alignment horizontal="center" vertical="center"/>
    </xf>
    <xf numFmtId="0" fontId="11" fillId="0" borderId="4" xfId="2" applyFont="1" applyBorder="1" applyAlignment="1" applyProtection="1">
      <alignment horizontal="center" vertical="center" wrapText="1"/>
      <protection locked="0"/>
    </xf>
    <xf numFmtId="164" fontId="8" fillId="0" borderId="2" xfId="2" applyNumberFormat="1" applyFont="1" applyBorder="1" applyAlignment="1">
      <alignment horizontal="center" vertical="center" wrapText="1"/>
    </xf>
    <xf numFmtId="164" fontId="0" fillId="0" borderId="0" xfId="0" applyNumberFormat="1" applyAlignment="1">
      <alignment horizontal="left" vertical="top"/>
    </xf>
    <xf numFmtId="164" fontId="0" fillId="0" borderId="0" xfId="0" applyNumberFormat="1" applyAlignment="1">
      <alignment wrapText="1"/>
    </xf>
    <xf numFmtId="0" fontId="17" fillId="0" borderId="0" xfId="5" applyFill="1" applyAlignment="1">
      <alignment wrapText="1"/>
    </xf>
    <xf numFmtId="164" fontId="0" fillId="2" borderId="5" xfId="0" applyNumberFormat="1" applyFill="1" applyBorder="1" applyAlignment="1">
      <alignment horizontal="left" vertical="top"/>
    </xf>
    <xf numFmtId="164" fontId="0" fillId="2" borderId="4" xfId="0" applyNumberFormat="1" applyFill="1" applyBorder="1" applyAlignment="1">
      <alignment horizontal="left" vertical="top"/>
    </xf>
    <xf numFmtId="0" fontId="2" fillId="0" borderId="4" xfId="0" applyFont="1" applyBorder="1" applyAlignment="1">
      <alignment horizontal="left" vertical="top" wrapText="1"/>
    </xf>
    <xf numFmtId="4" fontId="2" fillId="0" borderId="4" xfId="0" applyNumberFormat="1" applyFont="1" applyBorder="1" applyAlignment="1">
      <alignment horizontal="left" vertical="top" wrapText="1"/>
    </xf>
    <xf numFmtId="0" fontId="3" fillId="0" borderId="4" xfId="0" applyFont="1" applyBorder="1" applyAlignment="1">
      <alignment horizontal="left" vertical="top" wrapText="1"/>
    </xf>
    <xf numFmtId="0" fontId="0" fillId="0" borderId="9" xfId="0" applyBorder="1"/>
    <xf numFmtId="0" fontId="19" fillId="0" borderId="7" xfId="0" applyFont="1" applyBorder="1" applyAlignment="1">
      <alignment wrapText="1"/>
    </xf>
    <xf numFmtId="43" fontId="20" fillId="0" borderId="6" xfId="6" applyFont="1" applyFill="1" applyBorder="1" applyAlignment="1">
      <alignment vertical="center" wrapText="1"/>
    </xf>
    <xf numFmtId="0" fontId="5"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0" xfId="0" applyFont="1"/>
    <xf numFmtId="0" fontId="23" fillId="0" borderId="0" xfId="0" applyFont="1"/>
    <xf numFmtId="6" fontId="24" fillId="0" borderId="0" xfId="0" applyNumberFormat="1" applyFont="1" applyAlignment="1">
      <alignment horizontal="center" vertical="center"/>
    </xf>
    <xf numFmtId="6" fontId="0" fillId="0" borderId="0" xfId="0" applyNumberFormat="1"/>
    <xf numFmtId="0" fontId="16" fillId="0" borderId="1" xfId="0" applyFont="1" applyBorder="1"/>
    <xf numFmtId="0" fontId="16" fillId="0" borderId="1" xfId="0" applyFont="1" applyBorder="1" applyAlignment="1">
      <alignment horizontal="center"/>
    </xf>
    <xf numFmtId="0" fontId="16" fillId="3" borderId="1" xfId="0" applyFont="1" applyFill="1" applyBorder="1" applyAlignment="1">
      <alignment horizontal="center"/>
    </xf>
    <xf numFmtId="164" fontId="0" fillId="0" borderId="1" xfId="0" applyNumberFormat="1" applyBorder="1"/>
    <xf numFmtId="164" fontId="0" fillId="3" borderId="1" xfId="0" applyNumberFormat="1" applyFill="1" applyBorder="1"/>
    <xf numFmtId="164" fontId="16" fillId="0" borderId="1" xfId="0" applyNumberFormat="1" applyFont="1" applyBorder="1"/>
    <xf numFmtId="0" fontId="0" fillId="7" borderId="10" xfId="0" applyFill="1" applyBorder="1"/>
    <xf numFmtId="0" fontId="0" fillId="7" borderId="13" xfId="0" applyFill="1" applyBorder="1"/>
    <xf numFmtId="0" fontId="0" fillId="7" borderId="15" xfId="0" applyFill="1" applyBorder="1"/>
    <xf numFmtId="0" fontId="0" fillId="7" borderId="11" xfId="0" applyFill="1" applyBorder="1"/>
    <xf numFmtId="0" fontId="0" fillId="7" borderId="12" xfId="0" applyFill="1" applyBorder="1"/>
    <xf numFmtId="0" fontId="16" fillId="7" borderId="0" xfId="0" applyFont="1" applyFill="1"/>
    <xf numFmtId="0" fontId="0" fillId="7" borderId="14" xfId="0" applyFill="1" applyBorder="1"/>
    <xf numFmtId="0" fontId="0" fillId="7" borderId="17" xfId="0" applyFill="1" applyBorder="1"/>
    <xf numFmtId="0" fontId="0" fillId="7" borderId="0" xfId="0" applyFill="1"/>
    <xf numFmtId="0" fontId="0" fillId="7" borderId="16" xfId="0" applyFill="1" applyBorder="1"/>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6" fontId="26" fillId="5" borderId="1" xfId="0" applyNumberFormat="1" applyFont="1" applyFill="1" applyBorder="1" applyAlignment="1">
      <alignment horizontal="center" vertical="center" wrapText="1"/>
    </xf>
    <xf numFmtId="6" fontId="26" fillId="5" borderId="1" xfId="0" applyNumberFormat="1" applyFont="1" applyFill="1" applyBorder="1" applyAlignment="1">
      <alignment horizontal="center" vertical="center"/>
    </xf>
    <xf numFmtId="6" fontId="26" fillId="6" borderId="1" xfId="0" applyNumberFormat="1" applyFont="1" applyFill="1" applyBorder="1" applyAlignment="1">
      <alignment horizontal="center" vertical="center"/>
    </xf>
    <xf numFmtId="6" fontId="26" fillId="8" borderId="1" xfId="0" applyNumberFormat="1" applyFont="1" applyFill="1" applyBorder="1" applyAlignment="1">
      <alignment horizontal="center" vertical="center"/>
    </xf>
    <xf numFmtId="6" fontId="25" fillId="0" borderId="1" xfId="0" applyNumberFormat="1" applyFont="1" applyBorder="1" applyAlignment="1">
      <alignment horizontal="center" vertical="center"/>
    </xf>
    <xf numFmtId="6" fontId="25" fillId="5" borderId="1" xfId="0" applyNumberFormat="1" applyFont="1" applyFill="1" applyBorder="1" applyAlignment="1">
      <alignment horizontal="center" vertical="center"/>
    </xf>
    <xf numFmtId="6" fontId="25" fillId="6" borderId="1" xfId="0" applyNumberFormat="1" applyFont="1" applyFill="1" applyBorder="1" applyAlignment="1">
      <alignment horizontal="center" vertical="center"/>
    </xf>
    <xf numFmtId="6" fontId="25" fillId="8" borderId="1" xfId="0" applyNumberFormat="1" applyFont="1" applyFill="1" applyBorder="1" applyAlignment="1">
      <alignment horizontal="center" vertical="center"/>
    </xf>
    <xf numFmtId="0" fontId="22" fillId="7" borderId="0" xfId="0" applyFont="1" applyFill="1"/>
    <xf numFmtId="0" fontId="23" fillId="7" borderId="11" xfId="0" applyFont="1" applyFill="1" applyBorder="1"/>
    <xf numFmtId="0" fontId="23" fillId="7" borderId="0" xfId="0" applyFont="1" applyFill="1"/>
    <xf numFmtId="0" fontId="27" fillId="7" borderId="0" xfId="0" applyFont="1" applyFill="1"/>
    <xf numFmtId="0" fontId="0" fillId="7" borderId="19" xfId="0" applyFill="1" applyBorder="1"/>
    <xf numFmtId="0" fontId="0" fillId="7" borderId="20" xfId="0" applyFill="1" applyBorder="1"/>
    <xf numFmtId="164" fontId="16" fillId="3" borderId="1" xfId="0" applyNumberFormat="1" applyFont="1" applyFill="1" applyBorder="1"/>
    <xf numFmtId="0" fontId="16" fillId="2" borderId="1" xfId="0" applyFont="1" applyFill="1" applyBorder="1"/>
    <xf numFmtId="0" fontId="16" fillId="9" borderId="1" xfId="0" applyFont="1" applyFill="1" applyBorder="1"/>
    <xf numFmtId="164" fontId="0" fillId="2" borderId="1" xfId="0" applyNumberFormat="1" applyFill="1" applyBorder="1"/>
    <xf numFmtId="164" fontId="0" fillId="9" borderId="1" xfId="0" applyNumberFormat="1" applyFill="1" applyBorder="1"/>
    <xf numFmtId="164" fontId="16" fillId="2" borderId="1" xfId="0" applyNumberFormat="1" applyFont="1" applyFill="1" applyBorder="1"/>
    <xf numFmtId="164" fontId="16" fillId="9" borderId="1" xfId="0" applyNumberFormat="1" applyFont="1" applyFill="1" applyBorder="1"/>
    <xf numFmtId="0" fontId="0" fillId="7" borderId="18" xfId="0" applyFill="1" applyBorder="1"/>
    <xf numFmtId="0" fontId="23" fillId="7" borderId="19" xfId="0" applyFont="1" applyFill="1" applyBorder="1"/>
    <xf numFmtId="0" fontId="25" fillId="10" borderId="0" xfId="0" applyFont="1" applyFill="1" applyAlignment="1">
      <alignment horizontal="center" vertical="center" wrapText="1"/>
    </xf>
    <xf numFmtId="0" fontId="28" fillId="0" borderId="1" xfId="5" applyFont="1" applyBorder="1"/>
    <xf numFmtId="0" fontId="16" fillId="0" borderId="0" xfId="0" applyFont="1" applyAlignment="1">
      <alignment horizontal="center" wrapText="1"/>
    </xf>
    <xf numFmtId="0" fontId="29" fillId="0" borderId="1" xfId="0" applyFont="1" applyBorder="1" applyAlignment="1">
      <alignment horizontal="left" vertical="top" wrapText="1"/>
    </xf>
    <xf numFmtId="0" fontId="30" fillId="11" borderId="1" xfId="5" applyFont="1" applyFill="1" applyBorder="1" applyAlignment="1">
      <alignment horizontal="center" wrapText="1"/>
    </xf>
    <xf numFmtId="0" fontId="30" fillId="11" borderId="1" xfId="5" applyFont="1" applyFill="1" applyBorder="1" applyAlignment="1">
      <alignment horizontal="center" wrapText="1"/>
    </xf>
    <xf numFmtId="0" fontId="30" fillId="11" borderId="3" xfId="5" applyFont="1" applyFill="1" applyBorder="1" applyAlignment="1">
      <alignment horizontal="center" vertical="center" wrapText="1"/>
    </xf>
    <xf numFmtId="0" fontId="30" fillId="11" borderId="0" xfId="5" applyFont="1" applyFill="1" applyBorder="1" applyAlignment="1">
      <alignment horizontal="center" vertical="center" wrapText="1"/>
    </xf>
  </cellXfs>
  <cellStyles count="7">
    <cellStyle name="Comma" xfId="6" builtinId="3"/>
    <cellStyle name="Currency 2" xfId="3" xr:uid="{C3CEE72E-62FF-410F-BA22-26AC4494B766}"/>
    <cellStyle name="Currency 3" xfId="4" xr:uid="{7EE50872-1A4F-4BC4-BDC6-AE497C1E7F78}"/>
    <cellStyle name="Hyperlink" xfId="5" builtinId="8"/>
    <cellStyle name="Normal" xfId="0" builtinId="0"/>
    <cellStyle name="Normal 2" xfId="2" xr:uid="{CBA7BD93-7C32-4DB8-B07C-940CE391233C}"/>
    <cellStyle name="Normal 4" xfId="1" xr:uid="{4CD5310A-8013-40AC-AAFA-B071BA2FEEC1}"/>
  </cellStyles>
  <dxfs count="5">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B:\D&amp;E\Highways%20&amp;%20Transport\Engineering%20Design\_Programme%20Management\Dashboard\2024-25%20Highways_BlueSky.xlsx" TargetMode="External"/><Relationship Id="rId1" Type="http://schemas.openxmlformats.org/officeDocument/2006/relationships/externalLinkPath" Target="https://nsomerset.sharepoint.com/sites/SCHEMEPIPELINEIntegratedTransport/Shared%20Documents/General/10.%20SCHEME%20PIPELINE%20SPREADSHEETS/2024-25%20Highways_BlueSk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erything raw"/>
      <sheetName val="Parish output"/>
      <sheetName val="Board (output) "/>
      <sheetName val="Management output"/>
      <sheetName val="Resource output"/>
      <sheetName val="Lookups"/>
    </sheetNames>
    <sheetDataSet>
      <sheetData sheetId="0" refreshError="1">
        <row r="9">
          <cell r="A9" t="str">
            <v>IT0236</v>
          </cell>
          <cell r="B9"/>
          <cell r="C9" t="str">
            <v>Live</v>
          </cell>
          <cell r="D9" t="str">
            <v>KDH101</v>
          </cell>
          <cell r="E9" t="str">
            <v>Public Transport</v>
          </cell>
          <cell r="F9" t="str">
            <v>BU2401</v>
          </cell>
          <cell r="G9"/>
          <cell r="H9" t="str">
            <v>Nailsea and Backwell Station</v>
          </cell>
          <cell r="I9" t="str">
            <v>Wayfinding: More and improved signage to/from the station, improvements to wayfinding and onward journey information. Directional signage within the town and to/from station. NSC contribution to Network Rail scheme</v>
          </cell>
          <cell r="J9" t="str">
            <v>Public Transport</v>
          </cell>
          <cell r="K9" t="str">
            <v>Backwell</v>
          </cell>
          <cell r="L9" t="str">
            <v>Backwell</v>
          </cell>
          <cell r="M9"/>
          <cell r="N9"/>
          <cell r="O9"/>
          <cell r="P9">
            <v>29539</v>
          </cell>
          <cell r="Q9">
            <v>29539</v>
          </cell>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t="str">
            <v>NA</v>
          </cell>
          <cell r="BA9" t="str">
            <v>NA</v>
          </cell>
          <cell r="BB9" t="str">
            <v>NA</v>
          </cell>
          <cell r="BC9" t="str">
            <v>G</v>
          </cell>
          <cell r="BD9" t="str">
            <v>NSC contribution to Network Rail Scheme</v>
          </cell>
          <cell r="BE9" t="str">
            <v>G</v>
          </cell>
          <cell r="BF9" t="str">
            <v>G</v>
          </cell>
          <cell r="BG9" t="str">
            <v>G</v>
          </cell>
          <cell r="BH9" t="str">
            <v>G</v>
          </cell>
          <cell r="BI9" t="str">
            <v>N</v>
          </cell>
          <cell r="BJ9" t="str">
            <v>Awaiting invoice to complete project.</v>
          </cell>
        </row>
        <row r="10">
          <cell r="A10" t="str">
            <v>IT0238</v>
          </cell>
          <cell r="B10"/>
          <cell r="C10" t="str">
            <v>Live</v>
          </cell>
          <cell r="D10" t="str">
            <v>KDH103</v>
          </cell>
          <cell r="E10" t="str">
            <v>Walking</v>
          </cell>
          <cell r="F10" t="str">
            <v>PA2401</v>
          </cell>
          <cell r="G10" t="str">
            <v>H&amp;T000124</v>
          </cell>
          <cell r="H10" t="str">
            <v>S106 - Gordano Gate Business Park/ Sainsburys, Portishead - Town Centre Signage</v>
          </cell>
          <cell r="I10" t="str">
            <v>S106 agreement: Provision of improved and coherent directional signage for pedestrians and motorists on routes from the development to the Town Centre. Scheme completed during 2023/4. Surplus funding to be re-allocated.</v>
          </cell>
          <cell r="J10" t="str">
            <v>Walking</v>
          </cell>
          <cell r="K10" t="str">
            <v>Portishead North</v>
          </cell>
          <cell r="L10" t="str">
            <v>Portishead</v>
          </cell>
          <cell r="M10"/>
          <cell r="N10"/>
          <cell r="O10"/>
          <cell r="P10">
            <v>2133</v>
          </cell>
          <cell r="Q10">
            <v>2133</v>
          </cell>
          <cell r="R10"/>
          <cell r="S10"/>
          <cell r="T10"/>
          <cell r="U10"/>
          <cell r="V10"/>
          <cell r="W10"/>
          <cell r="X10"/>
          <cell r="Y10"/>
          <cell r="Z10"/>
          <cell r="AA10"/>
          <cell r="AB10"/>
          <cell r="AC10"/>
          <cell r="AD10"/>
          <cell r="AE10"/>
          <cell r="AF10"/>
          <cell r="AG10"/>
          <cell r="AH10"/>
          <cell r="AI10"/>
          <cell r="AJ10"/>
          <cell r="AK10"/>
          <cell r="AL10"/>
          <cell r="AM10"/>
          <cell r="AN10" t="str">
            <v>I</v>
          </cell>
          <cell r="AO10"/>
          <cell r="AP10" t="str">
            <v>With contractor</v>
          </cell>
          <cell r="AQ10" t="str">
            <v>NA</v>
          </cell>
          <cell r="AR10">
            <v>45323</v>
          </cell>
          <cell r="AS10" t="str">
            <v>C</v>
          </cell>
          <cell r="AT10" t="str">
            <v>Complete</v>
          </cell>
          <cell r="AU10" t="str">
            <v>C</v>
          </cell>
          <cell r="AV10" t="str">
            <v>C</v>
          </cell>
          <cell r="AW10" t="str">
            <v>C</v>
          </cell>
          <cell r="AX10" t="str">
            <v>C</v>
          </cell>
          <cell r="AY10" t="str">
            <v>N</v>
          </cell>
          <cell r="AZ10" t="str">
            <v>Complete</v>
          </cell>
          <cell r="BA10" t="str">
            <v>Complete</v>
          </cell>
          <cell r="BB10" t="str">
            <v>Complete</v>
          </cell>
          <cell r="BC10" t="str">
            <v>C</v>
          </cell>
          <cell r="BD10" t="str">
            <v>Signage scheme completed 23/24 FY. Funding slipped to 24/24 to fund any outstanding issues</v>
          </cell>
          <cell r="BE10" t="str">
            <v>C</v>
          </cell>
          <cell r="BF10" t="str">
            <v>C</v>
          </cell>
          <cell r="BG10" t="str">
            <v>C</v>
          </cell>
          <cell r="BH10" t="str">
            <v>C</v>
          </cell>
          <cell r="BI10" t="str">
            <v>N</v>
          </cell>
          <cell r="BJ10" t="str">
            <v>Scheme completed during 2023/24. Unspent S106 funding slipped to fund any outstanding works.</v>
          </cell>
        </row>
        <row r="11">
          <cell r="A11" t="str">
            <v>IT0518</v>
          </cell>
          <cell r="B11"/>
          <cell r="C11" t="str">
            <v>Live</v>
          </cell>
          <cell r="D11" t="str">
            <v>KDH103</v>
          </cell>
          <cell r="E11" t="str">
            <v>Walking</v>
          </cell>
          <cell r="F11" t="str">
            <v>PA2402</v>
          </cell>
          <cell r="G11"/>
          <cell r="H11" t="str">
            <v>S106 - Portishead Town Centre Improvements</v>
          </cell>
          <cell r="I11" t="str">
            <v>S106 - Portishead Town Centre Improvements. Scheme completed during 2023/4. Surplus funding to be re-allocated.</v>
          </cell>
          <cell r="J11" t="str">
            <v>Walking</v>
          </cell>
          <cell r="K11" t="str">
            <v>Portishead East</v>
          </cell>
          <cell r="L11" t="str">
            <v>Portishead</v>
          </cell>
          <cell r="M11"/>
          <cell r="N11"/>
          <cell r="O11"/>
          <cell r="P11">
            <v>22412</v>
          </cell>
          <cell r="Q11">
            <v>22412</v>
          </cell>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t="str">
            <v>Complete</v>
          </cell>
          <cell r="BA11" t="str">
            <v>Complete</v>
          </cell>
          <cell r="BB11" t="str">
            <v>Complete</v>
          </cell>
          <cell r="BC11" t="str">
            <v>C</v>
          </cell>
          <cell r="BD11" t="str">
            <v>Signage scheme completed 23/24 FY. Funding slipped to 24/25 to fund any outstanding issues</v>
          </cell>
          <cell r="BE11" t="str">
            <v>C</v>
          </cell>
          <cell r="BF11" t="str">
            <v>C</v>
          </cell>
          <cell r="BG11" t="str">
            <v>C</v>
          </cell>
          <cell r="BH11" t="str">
            <v>C</v>
          </cell>
          <cell r="BI11" t="str">
            <v>N</v>
          </cell>
          <cell r="BJ11" t="str">
            <v>Scheme completed during 2023/24. Unspent S106 funding slipped to fund any outstanding works.</v>
          </cell>
        </row>
        <row r="12">
          <cell r="A12" t="str">
            <v>IT0569</v>
          </cell>
          <cell r="B12"/>
          <cell r="C12" t="str">
            <v>Live</v>
          </cell>
          <cell r="D12" t="str">
            <v>KDH103</v>
          </cell>
          <cell r="E12" t="str">
            <v>Walking</v>
          </cell>
          <cell r="F12" t="str">
            <v>PA2403</v>
          </cell>
          <cell r="G12" t="str">
            <v>IT0569</v>
          </cell>
          <cell r="H12" t="str">
            <v>Station Road/ Ash Hayes Road Ped Crossing</v>
          </cell>
          <cell r="I12" t="str">
            <v>Delivery of a new zebra crossing over Station Road, Nailsea (south of its junction with Ash Hayes Road) to improve pedestrian access to east Nailsea and St Francis school.</v>
          </cell>
          <cell r="J12" t="str">
            <v>Walking</v>
          </cell>
          <cell r="K12" t="str">
            <v>Nailsea Golden Valley</v>
          </cell>
          <cell r="L12" t="str">
            <v>Nailsea</v>
          </cell>
          <cell r="M12"/>
          <cell r="N12"/>
          <cell r="O12">
            <v>75000</v>
          </cell>
          <cell r="P12"/>
          <cell r="Q12">
            <v>75000</v>
          </cell>
          <cell r="R12" t="str">
            <v>JG</v>
          </cell>
          <cell r="S12" t="str">
            <v>DM</v>
          </cell>
          <cell r="T12" t="str">
            <v>DB</v>
          </cell>
          <cell r="U12" t="str">
            <v>LC</v>
          </cell>
          <cell r="V12" t="str">
            <v>KF</v>
          </cell>
          <cell r="W12"/>
          <cell r="X12"/>
          <cell r="Y12"/>
          <cell r="Z12" t="str">
            <v>EM</v>
          </cell>
          <cell r="AA12"/>
          <cell r="AB12"/>
          <cell r="AC12" t="str">
            <v>P</v>
          </cell>
          <cell r="AD12" t="str">
            <v>P</v>
          </cell>
          <cell r="AE12" t="str">
            <v>C</v>
          </cell>
          <cell r="AF12" t="str">
            <v>C</v>
          </cell>
          <cell r="AG12" t="str">
            <v>D</v>
          </cell>
          <cell r="AH12" t="str">
            <v>D</v>
          </cell>
          <cell r="AI12" t="str">
            <v>M</v>
          </cell>
          <cell r="AJ12" t="str">
            <v>M</v>
          </cell>
          <cell r="AK12" t="str">
            <v>M</v>
          </cell>
          <cell r="AL12" t="str">
            <v>I</v>
          </cell>
          <cell r="AM12"/>
          <cell r="AN12"/>
          <cell r="AO12"/>
          <cell r="AP12"/>
          <cell r="AQ12"/>
          <cell r="AR12"/>
          <cell r="AS12"/>
          <cell r="AT12"/>
          <cell r="AU12"/>
          <cell r="AV12"/>
          <cell r="AW12"/>
          <cell r="AX12"/>
          <cell r="AY12"/>
          <cell r="AZ12" t="str">
            <v>Detail Design</v>
          </cell>
          <cell r="BA12">
            <v>45474</v>
          </cell>
          <cell r="BB12">
            <v>45689</v>
          </cell>
          <cell r="BC12" t="str">
            <v>G</v>
          </cell>
          <cell r="BD12" t="str">
            <v>Designs complete.</v>
          </cell>
          <cell r="BE12" t="str">
            <v>G</v>
          </cell>
          <cell r="BF12" t="str">
            <v>G</v>
          </cell>
          <cell r="BG12" t="str">
            <v>G</v>
          </cell>
          <cell r="BH12" t="str">
            <v>G</v>
          </cell>
          <cell r="BI12" t="str">
            <v>N</v>
          </cell>
          <cell r="BJ12" t="str">
            <v>Detail design complete.</v>
          </cell>
        </row>
        <row r="13">
          <cell r="A13" t="str">
            <v>IT0453</v>
          </cell>
          <cell r="B13"/>
          <cell r="C13" t="str">
            <v>Live</v>
          </cell>
          <cell r="D13" t="str">
            <v>KDH103</v>
          </cell>
          <cell r="E13" t="str">
            <v>Walking</v>
          </cell>
          <cell r="F13" t="str">
            <v>PA2404</v>
          </cell>
          <cell r="G13" t="str">
            <v>IT0453</v>
          </cell>
          <cell r="H13" t="str">
            <v>Pedestrian crossing improvements - Main Road Hutton</v>
          </cell>
          <cell r="I13" t="str">
            <v>Design and consultation. Improved crossing facility in the vicinity of the school.</v>
          </cell>
          <cell r="J13" t="str">
            <v>Walking</v>
          </cell>
          <cell r="K13" t="str">
            <v>Hutton and Locking</v>
          </cell>
          <cell r="L13" t="str">
            <v>Hutton</v>
          </cell>
          <cell r="M13"/>
          <cell r="N13"/>
          <cell r="O13">
            <v>4000</v>
          </cell>
          <cell r="P13"/>
          <cell r="Q13">
            <v>4000</v>
          </cell>
          <cell r="R13" t="str">
            <v>JG</v>
          </cell>
          <cell r="S13"/>
          <cell r="T13"/>
          <cell r="U13"/>
          <cell r="V13"/>
          <cell r="W13"/>
          <cell r="X13"/>
          <cell r="Y13"/>
          <cell r="Z13" t="str">
            <v>EM/LC</v>
          </cell>
          <cell r="AA13"/>
          <cell r="AB13"/>
          <cell r="AC13"/>
          <cell r="AD13"/>
          <cell r="AE13"/>
          <cell r="AF13"/>
          <cell r="AG13" t="str">
            <v>F</v>
          </cell>
          <cell r="AH13" t="str">
            <v>P</v>
          </cell>
          <cell r="AI13" t="str">
            <v>P</v>
          </cell>
          <cell r="AJ13" t="str">
            <v>C</v>
          </cell>
          <cell r="AK13" t="str">
            <v>C</v>
          </cell>
          <cell r="AL13"/>
          <cell r="AM13"/>
          <cell r="AN13"/>
          <cell r="AO13"/>
          <cell r="AP13"/>
          <cell r="AQ13"/>
          <cell r="AR13"/>
          <cell r="AS13"/>
          <cell r="AT13"/>
          <cell r="AU13"/>
          <cell r="AV13"/>
          <cell r="AW13"/>
          <cell r="AX13"/>
          <cell r="AY13"/>
          <cell r="AZ13" t="str">
            <v>Not started</v>
          </cell>
          <cell r="BA13">
            <v>45717</v>
          </cell>
          <cell r="BB13" t="str">
            <v>TBA</v>
          </cell>
          <cell r="BC13" t="str">
            <v>D</v>
          </cell>
          <cell r="BD13" t="str">
            <v xml:space="preserve">Not possible to undertake feasibility, due to long term road closure. </v>
          </cell>
          <cell r="BE13" t="str">
            <v>D</v>
          </cell>
          <cell r="BF13" t="str">
            <v>D</v>
          </cell>
          <cell r="BG13" t="str">
            <v>D</v>
          </cell>
          <cell r="BH13" t="str">
            <v>D</v>
          </cell>
          <cell r="BI13" t="str">
            <v>N</v>
          </cell>
          <cell r="BJ13" t="str">
            <v>It has not been possible to undertake the PV2 survey or any othere monitoring as the results would be skewed due to a retaining wall collapse which has resulted in a road closure</v>
          </cell>
        </row>
        <row r="14">
          <cell r="A14" t="str">
            <v>IT0425</v>
          </cell>
          <cell r="B14"/>
          <cell r="C14" t="str">
            <v>Live</v>
          </cell>
          <cell r="D14" t="str">
            <v>KDH103</v>
          </cell>
          <cell r="E14" t="str">
            <v>Walking</v>
          </cell>
          <cell r="F14" t="str">
            <v>PA2405</v>
          </cell>
          <cell r="G14" t="str">
            <v>IT0425</v>
          </cell>
          <cell r="H14" t="str">
            <v>Winford C of E Primary School Pedestrian Improvements. Feasibility and Consultation 2024/25</v>
          </cell>
          <cell r="I14" t="str">
            <v>Design and consultation. Pedestrian improvements (including pedestrian crossing) on Felton Road</v>
          </cell>
          <cell r="J14" t="str">
            <v>Walking</v>
          </cell>
          <cell r="K14" t="str">
            <v>Winford</v>
          </cell>
          <cell r="L14" t="str">
            <v>Winford</v>
          </cell>
          <cell r="M14"/>
          <cell r="N14"/>
          <cell r="O14">
            <v>4000</v>
          </cell>
          <cell r="P14"/>
          <cell r="Q14">
            <v>4000</v>
          </cell>
          <cell r="R14" t="str">
            <v>JG</v>
          </cell>
          <cell r="S14"/>
          <cell r="T14"/>
          <cell r="U14"/>
          <cell r="V14"/>
          <cell r="W14"/>
          <cell r="X14"/>
          <cell r="Y14"/>
          <cell r="Z14" t="str">
            <v>EM</v>
          </cell>
          <cell r="AA14"/>
          <cell r="AB14"/>
          <cell r="AC14" t="str">
            <v>P</v>
          </cell>
          <cell r="AD14" t="str">
            <v>C</v>
          </cell>
          <cell r="AE14" t="str">
            <v>C</v>
          </cell>
          <cell r="AF14" t="str">
            <v>C</v>
          </cell>
          <cell r="AG14" t="str">
            <v>D</v>
          </cell>
          <cell r="AH14" t="str">
            <v>D</v>
          </cell>
          <cell r="AI14"/>
          <cell r="AJ14"/>
          <cell r="AK14"/>
          <cell r="AL14"/>
          <cell r="AM14"/>
          <cell r="AN14"/>
          <cell r="AO14"/>
          <cell r="AP14"/>
          <cell r="AQ14"/>
          <cell r="AR14"/>
          <cell r="AS14"/>
          <cell r="AT14"/>
          <cell r="AU14"/>
          <cell r="AV14"/>
          <cell r="AW14"/>
          <cell r="AX14"/>
          <cell r="AY14"/>
          <cell r="AZ14" t="str">
            <v>Consultation</v>
          </cell>
          <cell r="BA14">
            <v>45444</v>
          </cell>
          <cell r="BB14" t="str">
            <v>TBA</v>
          </cell>
          <cell r="BC14" t="str">
            <v>G</v>
          </cell>
          <cell r="BD14" t="str">
            <v>Preliminary designs issued for comment</v>
          </cell>
          <cell r="BE14" t="str">
            <v>G</v>
          </cell>
          <cell r="BF14" t="str">
            <v>G</v>
          </cell>
          <cell r="BG14" t="str">
            <v>G</v>
          </cell>
          <cell r="BH14" t="str">
            <v>G</v>
          </cell>
          <cell r="BI14" t="str">
            <v>N</v>
          </cell>
          <cell r="BJ14" t="str">
            <v>Draft design completed and shared with PC and Local Member. Local consultations being undertaken.</v>
          </cell>
        </row>
        <row r="15">
          <cell r="A15" t="str">
            <v>IT0523</v>
          </cell>
          <cell r="B15"/>
          <cell r="C15" t="str">
            <v>Live</v>
          </cell>
          <cell r="D15" t="str">
            <v>KDH103</v>
          </cell>
          <cell r="E15" t="str">
            <v>Walking</v>
          </cell>
          <cell r="F15" t="str">
            <v>PA2406</v>
          </cell>
          <cell r="G15" t="str">
            <v>IT0523</v>
          </cell>
          <cell r="H15" t="str">
            <v xml:space="preserve">Parallel Crossing Facilities The Runway A371 </v>
          </cell>
          <cell r="I15" t="str">
            <v>Improved pedestrian crossing facilities at the roundabout of A371 and The Runway.</v>
          </cell>
          <cell r="J15" t="str">
            <v>Walking</v>
          </cell>
          <cell r="K15" t="str">
            <v>Weston-super-Mare Winterstoke</v>
          </cell>
          <cell r="L15" t="str">
            <v>Weston-super-Mare</v>
          </cell>
          <cell r="M15"/>
          <cell r="N15"/>
          <cell r="O15">
            <v>90000</v>
          </cell>
          <cell r="P15"/>
          <cell r="Q15">
            <v>90000</v>
          </cell>
          <cell r="R15" t="str">
            <v>JG</v>
          </cell>
          <cell r="S15" t="str">
            <v>DM</v>
          </cell>
          <cell r="T15"/>
          <cell r="U15"/>
          <cell r="V15"/>
          <cell r="W15"/>
          <cell r="X15"/>
          <cell r="Y15"/>
          <cell r="Z15" t="str">
            <v>EM/ AE</v>
          </cell>
          <cell r="AA15"/>
          <cell r="AB15"/>
          <cell r="AC15" t="str">
            <v>P</v>
          </cell>
          <cell r="AD15" t="str">
            <v>P</v>
          </cell>
          <cell r="AE15" t="str">
            <v>C</v>
          </cell>
          <cell r="AF15" t="str">
            <v>C</v>
          </cell>
          <cell r="AG15" t="str">
            <v>D</v>
          </cell>
          <cell r="AH15" t="str">
            <v>D</v>
          </cell>
          <cell r="AI15" t="str">
            <v>M</v>
          </cell>
          <cell r="AJ15" t="str">
            <v>M</v>
          </cell>
          <cell r="AK15" t="str">
            <v>I</v>
          </cell>
          <cell r="AL15" t="str">
            <v>I</v>
          </cell>
          <cell r="AM15"/>
          <cell r="AN15"/>
          <cell r="AO15"/>
          <cell r="AP15"/>
          <cell r="AQ15"/>
          <cell r="AR15"/>
          <cell r="AS15"/>
          <cell r="AT15"/>
          <cell r="AU15"/>
          <cell r="AV15"/>
          <cell r="AW15"/>
          <cell r="AX15"/>
          <cell r="AY15"/>
          <cell r="AZ15" t="str">
            <v>Tender.</v>
          </cell>
          <cell r="BA15">
            <v>45474</v>
          </cell>
          <cell r="BB15">
            <v>45689</v>
          </cell>
          <cell r="BC15" t="str">
            <v>G</v>
          </cell>
          <cell r="BD15" t="str">
            <v>Out to tender.</v>
          </cell>
          <cell r="BE15" t="str">
            <v>G</v>
          </cell>
          <cell r="BF15" t="str">
            <v>G</v>
          </cell>
          <cell r="BG15" t="str">
            <v>G</v>
          </cell>
          <cell r="BH15" t="str">
            <v>G</v>
          </cell>
          <cell r="BI15" t="str">
            <v>N</v>
          </cell>
          <cell r="BJ15" t="str">
            <v>Out to tender.</v>
          </cell>
        </row>
        <row r="16">
          <cell r="A16" t="str">
            <v>IT0299</v>
          </cell>
          <cell r="B16" t="str">
            <v>S</v>
          </cell>
          <cell r="C16" t="str">
            <v>Live</v>
          </cell>
          <cell r="D16" t="str">
            <v>KDH104</v>
          </cell>
          <cell r="E16" t="str">
            <v>Cycling</v>
          </cell>
          <cell r="F16" t="str">
            <v>EC2401</v>
          </cell>
          <cell r="G16" t="str">
            <v>H&amp;T000126</v>
          </cell>
          <cell r="H16" t="str">
            <v>The Strawberry Line Extension (Yatton Station to Clevedon). Western Gateway NS7 (Clevedon - Winscombe). Likely to need this funding to complete IT0505</v>
          </cell>
          <cell r="I16" t="str">
            <v>To provide direct, level and attractive route between Clevedon TC and Yatton Station. Surface to suit commuters. To provide bridleway status wherever possible. To encourage leisure and tourism.</v>
          </cell>
          <cell r="J16" t="str">
            <v>Cycling</v>
          </cell>
          <cell r="K16" t="str">
            <v>Yatton</v>
          </cell>
          <cell r="L16" t="str">
            <v>Yatton</v>
          </cell>
          <cell r="M16"/>
          <cell r="N16"/>
          <cell r="O16"/>
          <cell r="P16">
            <v>82339</v>
          </cell>
          <cell r="Q16">
            <v>82339</v>
          </cell>
          <cell r="R16" t="str">
            <v>JG</v>
          </cell>
          <cell r="S16"/>
          <cell r="T16"/>
          <cell r="U16"/>
          <cell r="V16"/>
          <cell r="W16"/>
          <cell r="X16"/>
          <cell r="Y16"/>
          <cell r="Z16" t="str">
            <v>CF</v>
          </cell>
          <cell r="AA16"/>
          <cell r="AB16" t="str">
            <v>F</v>
          </cell>
          <cell r="AC16" t="str">
            <v>F</v>
          </cell>
          <cell r="AD16" t="str">
            <v>F</v>
          </cell>
          <cell r="AE16" t="str">
            <v>F</v>
          </cell>
          <cell r="AF16" t="str">
            <v>F</v>
          </cell>
          <cell r="AG16" t="str">
            <v>F</v>
          </cell>
          <cell r="AH16" t="str">
            <v>F</v>
          </cell>
          <cell r="AI16" t="str">
            <v>F</v>
          </cell>
          <cell r="AJ16" t="str">
            <v>F</v>
          </cell>
          <cell r="AK16" t="str">
            <v>F</v>
          </cell>
          <cell r="AL16" t="str">
            <v>F</v>
          </cell>
          <cell r="AM16" t="str">
            <v>F</v>
          </cell>
          <cell r="AN16"/>
          <cell r="AO16"/>
          <cell r="AP16"/>
          <cell r="AQ16"/>
          <cell r="AR16"/>
          <cell r="AS16"/>
          <cell r="AT16"/>
          <cell r="AU16"/>
          <cell r="AV16"/>
          <cell r="AW16"/>
          <cell r="AX16"/>
          <cell r="AY16"/>
          <cell r="AZ16" t="str">
            <v>Feasibility</v>
          </cell>
          <cell r="BA16" t="str">
            <v>NA</v>
          </cell>
          <cell r="BB16" t="str">
            <v>NA</v>
          </cell>
          <cell r="BC16" t="str">
            <v>G</v>
          </cell>
          <cell r="BD16" t="str">
            <v>Feasibility only 23/24 and work ongoing.</v>
          </cell>
          <cell r="BE16" t="str">
            <v>G</v>
          </cell>
          <cell r="BF16" t="str">
            <v>G</v>
          </cell>
          <cell r="BG16" t="str">
            <v>G</v>
          </cell>
          <cell r="BH16" t="str">
            <v>G</v>
          </cell>
          <cell r="BI16" t="str">
            <v>N</v>
          </cell>
          <cell r="BJ16" t="str">
            <v>Budget being reallocated to IT0505.</v>
          </cell>
        </row>
        <row r="17">
          <cell r="A17" t="str">
            <v>IT0505</v>
          </cell>
          <cell r="B17" t="str">
            <v>S</v>
          </cell>
          <cell r="C17" t="str">
            <v>Live</v>
          </cell>
          <cell r="D17" t="str">
            <v>KDH104</v>
          </cell>
          <cell r="E17" t="str">
            <v>Cycling</v>
          </cell>
          <cell r="F17" t="str">
            <v>EC2402</v>
          </cell>
          <cell r="G17" t="str">
            <v>H&amp;T000387</v>
          </cell>
          <cell r="H17" t="str">
            <v xml:space="preserve">ATF4: Strawberry Line Extension - Duck Lane Link. </v>
          </cell>
          <cell r="I17" t="str">
            <v>This scheme will unlock an 80m section of new shared path to link into Duck Lane and on into Kingston Seymour, connecting into the Pier to Pier Way (Weston-super-Mare to Clevedon Coastal Towns Cycle Route).</v>
          </cell>
          <cell r="J17" t="str">
            <v>Cycling</v>
          </cell>
          <cell r="K17" t="str">
            <v>Yatton</v>
          </cell>
          <cell r="L17" t="str">
            <v>Yatton</v>
          </cell>
          <cell r="M17">
            <v>21377.25</v>
          </cell>
          <cell r="N17"/>
          <cell r="O17"/>
          <cell r="P17">
            <v>43275</v>
          </cell>
          <cell r="Q17">
            <v>64652.25</v>
          </cell>
          <cell r="R17" t="str">
            <v>JG</v>
          </cell>
          <cell r="S17" t="str">
            <v>DM</v>
          </cell>
          <cell r="T17"/>
          <cell r="U17"/>
          <cell r="V17"/>
          <cell r="W17"/>
          <cell r="X17"/>
          <cell r="Y17"/>
          <cell r="Z17" t="str">
            <v>LT/ CF</v>
          </cell>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t="str">
            <v>Complete</v>
          </cell>
          <cell r="BA17" t="str">
            <v>NA</v>
          </cell>
          <cell r="BB17">
            <v>45536</v>
          </cell>
          <cell r="BC17" t="str">
            <v>C</v>
          </cell>
          <cell r="BD17" t="str">
            <v>Contractors have been appointed.
Awaiting start date.</v>
          </cell>
          <cell r="BE17" t="str">
            <v>C</v>
          </cell>
          <cell r="BF17" t="str">
            <v>C</v>
          </cell>
          <cell r="BG17" t="str">
            <v>C</v>
          </cell>
          <cell r="BH17" t="str">
            <v>C</v>
          </cell>
          <cell r="BI17" t="str">
            <v>N</v>
          </cell>
          <cell r="BJ17" t="str">
            <v>Complete</v>
          </cell>
        </row>
        <row r="18">
          <cell r="A18" t="str">
            <v>IT0507</v>
          </cell>
          <cell r="B18"/>
          <cell r="C18" t="str">
            <v>Live</v>
          </cell>
          <cell r="D18" t="str">
            <v>KDH104</v>
          </cell>
          <cell r="E18" t="str">
            <v>Cycling</v>
          </cell>
          <cell r="F18" t="str">
            <v>EC2403</v>
          </cell>
          <cell r="G18" t="str">
            <v>H&amp;T000388</v>
          </cell>
          <cell r="H18" t="str">
            <v>ATF4: Festival Way Crossings Package - Upgrade 4 road crossings on The Festival Way to improve safety for walkers and cyclists</v>
          </cell>
          <cell r="I18" t="str">
            <v xml:space="preserve">Upgrade 4 road crossings on The Festival Way to improve safety for walkers and cyclists. Scheme completed 2023/24. Surplus funding for Road Safety Audit and outstanding work.
</v>
          </cell>
          <cell r="J18" t="str">
            <v>Cycling</v>
          </cell>
          <cell r="K18" t="str">
            <v>Multiple</v>
          </cell>
          <cell r="L18" t="str">
            <v>Multiple</v>
          </cell>
          <cell r="M18"/>
          <cell r="N18"/>
          <cell r="O18"/>
          <cell r="P18">
            <v>14487</v>
          </cell>
          <cell r="Q18">
            <v>14487</v>
          </cell>
          <cell r="R18" t="str">
            <v>JG</v>
          </cell>
          <cell r="S18" t="str">
            <v>JD</v>
          </cell>
          <cell r="T18" t="str">
            <v>MM</v>
          </cell>
          <cell r="U18"/>
          <cell r="V18"/>
          <cell r="W18"/>
          <cell r="X18"/>
          <cell r="Y18"/>
          <cell r="Z18" t="str">
            <v>LT</v>
          </cell>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t="str">
            <v>Complete</v>
          </cell>
          <cell r="BA18" t="str">
            <v>Complete</v>
          </cell>
          <cell r="BB18" t="str">
            <v>Complete</v>
          </cell>
          <cell r="BC18" t="str">
            <v>C</v>
          </cell>
          <cell r="BD18" t="str">
            <v xml:space="preserve"> Road Safety Audit complete and minor works have been commissioned.</v>
          </cell>
          <cell r="BE18" t="str">
            <v>C</v>
          </cell>
          <cell r="BF18" t="str">
            <v>C</v>
          </cell>
          <cell r="BG18" t="str">
            <v>C</v>
          </cell>
          <cell r="BH18" t="str">
            <v>C</v>
          </cell>
          <cell r="BI18" t="str">
            <v>N</v>
          </cell>
          <cell r="BJ18" t="str">
            <v>Scheme complete. RSA3 complete and works orders out to complete the work that was identified in the RSA3</v>
          </cell>
        </row>
        <row r="19">
          <cell r="A19" t="str">
            <v>IT0515</v>
          </cell>
          <cell r="B19"/>
          <cell r="C19" t="str">
            <v>Live</v>
          </cell>
          <cell r="D19" t="str">
            <v>KDH104</v>
          </cell>
          <cell r="E19" t="str">
            <v>Cycling</v>
          </cell>
          <cell r="F19" t="str">
            <v>EC2404</v>
          </cell>
          <cell r="G19"/>
          <cell r="H19" t="str">
            <v>ATF 4: A371 Knightcott Road, WSM to Banwell Missing Link</v>
          </cell>
          <cell r="I19" t="str">
            <v>The scheme fills a missing link in the strategic cycling network that will emerge between existing infrastructure to the west and committed infrastructure to the east on the A371 between Weston-super Mare and Banwell. Scheme to be delivered as part of Banwell by-pass implimentation.</v>
          </cell>
          <cell r="J19" t="str">
            <v>Cycling</v>
          </cell>
          <cell r="K19" t="str">
            <v>Banwell and Winscombe</v>
          </cell>
          <cell r="L19" t="str">
            <v>Banwell</v>
          </cell>
          <cell r="M19"/>
          <cell r="N19"/>
          <cell r="O19"/>
          <cell r="P19">
            <v>21053</v>
          </cell>
          <cell r="Q19">
            <v>21053</v>
          </cell>
          <cell r="R19" t="str">
            <v>DM</v>
          </cell>
          <cell r="S19"/>
          <cell r="T19"/>
          <cell r="U19"/>
          <cell r="V19"/>
          <cell r="W19"/>
          <cell r="X19"/>
          <cell r="Y19"/>
          <cell r="Z19" t="str">
            <v>LT</v>
          </cell>
          <cell r="AA19"/>
          <cell r="AB19" t="str">
            <v>F</v>
          </cell>
          <cell r="AC19" t="str">
            <v>F</v>
          </cell>
          <cell r="AD19" t="str">
            <v>F</v>
          </cell>
          <cell r="AE19" t="str">
            <v>F</v>
          </cell>
          <cell r="AF19" t="str">
            <v>F</v>
          </cell>
          <cell r="AG19" t="str">
            <v>F</v>
          </cell>
          <cell r="AH19" t="str">
            <v>F</v>
          </cell>
          <cell r="AI19" t="str">
            <v>F</v>
          </cell>
          <cell r="AJ19" t="str">
            <v>F</v>
          </cell>
          <cell r="AK19" t="str">
            <v>F</v>
          </cell>
          <cell r="AL19" t="str">
            <v>F</v>
          </cell>
          <cell r="AM19" t="str">
            <v>F</v>
          </cell>
          <cell r="AN19"/>
          <cell r="AO19"/>
          <cell r="AP19"/>
          <cell r="AQ19"/>
          <cell r="AR19"/>
          <cell r="AS19"/>
          <cell r="AT19"/>
          <cell r="AU19"/>
          <cell r="AV19"/>
          <cell r="AW19"/>
          <cell r="AX19"/>
          <cell r="AY19"/>
          <cell r="AZ19" t="str">
            <v>Feasibility</v>
          </cell>
          <cell r="BA19" t="str">
            <v>NA</v>
          </cell>
          <cell r="BB19" t="str">
            <v>NA</v>
          </cell>
          <cell r="BC19" t="str">
            <v>G</v>
          </cell>
          <cell r="BD19" t="str">
            <v>Feasibility and design only to provide a missing link of cycle track to support Banwell Bypass project.</v>
          </cell>
          <cell r="BE19" t="str">
            <v>A</v>
          </cell>
          <cell r="BF19" t="str">
            <v>A</v>
          </cell>
          <cell r="BG19" t="str">
            <v>A</v>
          </cell>
          <cell r="BH19" t="str">
            <v>A</v>
          </cell>
          <cell r="BI19" t="str">
            <v>N</v>
          </cell>
          <cell r="BJ19" t="str">
            <v>NSEC arranging vegetation cut back so extents of highway may be ascertained.</v>
          </cell>
        </row>
        <row r="20">
          <cell r="A20" t="str">
            <v>IT1270</v>
          </cell>
          <cell r="B20"/>
          <cell r="C20" t="str">
            <v>Live</v>
          </cell>
          <cell r="D20" t="str">
            <v>KDH104</v>
          </cell>
          <cell r="E20" t="str">
            <v>Cycling</v>
          </cell>
          <cell r="F20" t="str">
            <v>EC2405</v>
          </cell>
          <cell r="G20" t="str">
            <v>IT1270</v>
          </cell>
          <cell r="H20" t="str">
            <v>Cycling signage and route diversion at Birnbeck and Clevedon Piers</v>
          </cell>
          <cell r="I20" t="str">
            <v>List of outstanding work on Pier to Pier. To include diversion of route via Birnbeck Pier, Signage at Clevedon Pier etc.</v>
          </cell>
          <cell r="J20" t="str">
            <v>Cycling</v>
          </cell>
          <cell r="K20" t="str">
            <v>Multiple</v>
          </cell>
          <cell r="L20" t="str">
            <v>Multiple</v>
          </cell>
          <cell r="M20"/>
          <cell r="N20"/>
          <cell r="O20">
            <v>30000</v>
          </cell>
          <cell r="P20"/>
          <cell r="Q20">
            <v>30000</v>
          </cell>
          <cell r="R20" t="str">
            <v>JG</v>
          </cell>
          <cell r="S20" t="str">
            <v>RD</v>
          </cell>
          <cell r="T20"/>
          <cell r="U20"/>
          <cell r="V20"/>
          <cell r="W20"/>
          <cell r="X20"/>
          <cell r="Y20"/>
          <cell r="Z20" t="str">
            <v>BS</v>
          </cell>
          <cell r="AA20"/>
          <cell r="AB20"/>
          <cell r="AC20"/>
          <cell r="AD20"/>
          <cell r="AE20"/>
          <cell r="AF20" t="str">
            <v>P</v>
          </cell>
          <cell r="AG20" t="str">
            <v>C</v>
          </cell>
          <cell r="AH20" t="str">
            <v>C</v>
          </cell>
          <cell r="AI20" t="str">
            <v>D</v>
          </cell>
          <cell r="AJ20" t="str">
            <v>M</v>
          </cell>
          <cell r="AK20" t="str">
            <v>M</v>
          </cell>
          <cell r="AL20" t="str">
            <v>I</v>
          </cell>
          <cell r="AM20" t="str">
            <v>I</v>
          </cell>
          <cell r="AN20"/>
          <cell r="AO20"/>
          <cell r="AP20"/>
          <cell r="AQ20"/>
          <cell r="AR20"/>
          <cell r="AS20"/>
          <cell r="AT20"/>
          <cell r="AU20"/>
          <cell r="AV20"/>
          <cell r="AW20"/>
          <cell r="AX20"/>
          <cell r="AY20"/>
          <cell r="AZ20" t="str">
            <v>Detail Design</v>
          </cell>
          <cell r="BA20">
            <v>45536</v>
          </cell>
          <cell r="BB20">
            <v>45689</v>
          </cell>
          <cell r="BC20" t="str">
            <v>G</v>
          </cell>
          <cell r="BD20" t="str">
            <v xml:space="preserve">Making any adjustments to support the Pier to Pier cycleway following feedback  including proposals to divert route via Birnback Pier
</v>
          </cell>
          <cell r="BE20" t="str">
            <v>G</v>
          </cell>
          <cell r="BF20" t="str">
            <v>G</v>
          </cell>
          <cell r="BG20" t="str">
            <v>G</v>
          </cell>
          <cell r="BH20" t="str">
            <v>G</v>
          </cell>
          <cell r="BI20" t="str">
            <v>N</v>
          </cell>
          <cell r="BJ20" t="str">
            <v>Work going out to NSEC.</v>
          </cell>
        </row>
        <row r="21">
          <cell r="A21" t="str">
            <v>IT0461</v>
          </cell>
          <cell r="B21"/>
          <cell r="C21" t="str">
            <v>Live</v>
          </cell>
          <cell r="D21" t="str">
            <v>KDH104</v>
          </cell>
          <cell r="E21" t="str">
            <v>Cycling</v>
          </cell>
          <cell r="F21" t="str">
            <v>EC2406</v>
          </cell>
          <cell r="G21" t="str">
            <v>IT0461</v>
          </cell>
          <cell r="H21" t="str">
            <v>Perrings (Nailsea Active Travel_SW Circular) - Design and consultation only</v>
          </cell>
          <cell r="I21" t="str">
            <v>Active Travel Network in Nailsea is poor - A network of Safe and Attractive Routes is proposed ; this route section forms a South Western Circular connecting from Station Road to Engine Lane</v>
          </cell>
          <cell r="J21" t="str">
            <v>Cycling</v>
          </cell>
          <cell r="K21" t="str">
            <v>Multiple</v>
          </cell>
          <cell r="L21" t="str">
            <v>Nailsea</v>
          </cell>
          <cell r="M21"/>
          <cell r="N21"/>
          <cell r="O21">
            <v>10000</v>
          </cell>
          <cell r="P21"/>
          <cell r="Q21">
            <v>10000</v>
          </cell>
          <cell r="R21" t="str">
            <v>JG</v>
          </cell>
          <cell r="S21"/>
          <cell r="T21"/>
          <cell r="U21"/>
          <cell r="V21"/>
          <cell r="W21"/>
          <cell r="X21"/>
          <cell r="Y21"/>
          <cell r="Z21" t="str">
            <v>LT</v>
          </cell>
          <cell r="AA21"/>
          <cell r="AB21"/>
          <cell r="AC21"/>
          <cell r="AD21"/>
          <cell r="AE21"/>
          <cell r="AF21"/>
          <cell r="AG21" t="str">
            <v>F</v>
          </cell>
          <cell r="AH21" t="str">
            <v>F</v>
          </cell>
          <cell r="AI21" t="str">
            <v>P</v>
          </cell>
          <cell r="AJ21" t="str">
            <v>P</v>
          </cell>
          <cell r="AK21" t="str">
            <v>C</v>
          </cell>
          <cell r="AL21" t="str">
            <v>C</v>
          </cell>
          <cell r="AM21" t="str">
            <v>C</v>
          </cell>
          <cell r="AN21"/>
          <cell r="AO21"/>
          <cell r="AP21"/>
          <cell r="AQ21"/>
          <cell r="AR21"/>
          <cell r="AS21"/>
          <cell r="AT21"/>
          <cell r="AU21"/>
          <cell r="AV21"/>
          <cell r="AW21"/>
          <cell r="AX21"/>
          <cell r="AY21"/>
          <cell r="AZ21" t="str">
            <v>Preliminary Design</v>
          </cell>
          <cell r="BA21">
            <v>45658</v>
          </cell>
          <cell r="BB21" t="str">
            <v>NA</v>
          </cell>
          <cell r="BC21" t="str">
            <v>G</v>
          </cell>
          <cell r="BD21" t="str">
            <v>Preiminary Design.</v>
          </cell>
          <cell r="BE21" t="str">
            <v>G</v>
          </cell>
          <cell r="BF21" t="str">
            <v>G</v>
          </cell>
          <cell r="BG21" t="str">
            <v>G</v>
          </cell>
          <cell r="BH21" t="str">
            <v>G</v>
          </cell>
          <cell r="BI21" t="str">
            <v>N</v>
          </cell>
          <cell r="BJ21" t="str">
            <v>Preliminary design work started.</v>
          </cell>
        </row>
        <row r="22">
          <cell r="A22" t="str">
            <v>IT0463</v>
          </cell>
          <cell r="B22" t="str">
            <v>D</v>
          </cell>
          <cell r="C22" t="str">
            <v>Live</v>
          </cell>
          <cell r="D22" t="str">
            <v>KDH105</v>
          </cell>
          <cell r="E22" t="str">
            <v>Safety &amp; Travel Plans</v>
          </cell>
          <cell r="F22" t="str">
            <v>RS2401</v>
          </cell>
          <cell r="G22" t="str">
            <v>N/A</v>
          </cell>
          <cell r="H22" t="str">
            <v>ATF4: Signalised Crossings: Pedestrian Wait Times Reduction. Mark Cogan</v>
          </cell>
          <cell r="I22" t="str">
            <v>Reduced pedestrian wait times at signalised crossings for pedestrians would make active travel more attractive, reduce severence issues, improve safety and reflect changing priorities towards active travel users.
 A district wide review of our signalised crossing is required with reductions in wait times optimised for Place and Movement whilst ensuring safety is maintained. Scheme substantially completed 2023/24 with last remaining crossings to be delivered 2024/25</v>
          </cell>
          <cell r="J22" t="str">
            <v>Safety &amp; Travel Plans</v>
          </cell>
          <cell r="K22" t="str">
            <v>District Wide</v>
          </cell>
          <cell r="L22" t="str">
            <v>District Wide</v>
          </cell>
          <cell r="M22"/>
          <cell r="N22"/>
          <cell r="O22"/>
          <cell r="P22">
            <v>26090</v>
          </cell>
          <cell r="Q22">
            <v>26090</v>
          </cell>
          <cell r="R22"/>
          <cell r="S22"/>
          <cell r="T22"/>
          <cell r="U22"/>
          <cell r="V22"/>
          <cell r="W22"/>
          <cell r="X22"/>
          <cell r="Y22"/>
          <cell r="Z22" t="str">
            <v>DL</v>
          </cell>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t="str">
            <v>Complete</v>
          </cell>
          <cell r="BA22" t="str">
            <v>NA</v>
          </cell>
          <cell r="BB22" t="str">
            <v>NA</v>
          </cell>
          <cell r="BC22" t="str">
            <v>C</v>
          </cell>
          <cell r="BD22" t="str">
            <v xml:space="preserve">Funding slipped to 24/25 to complete any outstanding work
</v>
          </cell>
          <cell r="BE22" t="str">
            <v>C</v>
          </cell>
          <cell r="BF22" t="str">
            <v>C</v>
          </cell>
          <cell r="BG22" t="str">
            <v>C</v>
          </cell>
          <cell r="BH22" t="str">
            <v>C</v>
          </cell>
          <cell r="BI22" t="str">
            <v>N</v>
          </cell>
          <cell r="BJ22" t="str">
            <v>Still some work outstanding. Likely to be an underspend which will need to be reallocated noting restrictive nature of ATF4 funding and the spread of ATF4 schemes on different budget headings</v>
          </cell>
        </row>
        <row r="23">
          <cell r="A23" t="str">
            <v>ITx001</v>
          </cell>
          <cell r="B23"/>
          <cell r="C23" t="str">
            <v>Live</v>
          </cell>
          <cell r="D23" t="str">
            <v>KDH105</v>
          </cell>
          <cell r="E23" t="str">
            <v>Safety &amp; Travel Plans</v>
          </cell>
          <cell r="F23" t="str">
            <v>RS2402</v>
          </cell>
          <cell r="G23"/>
          <cell r="H23" t="str">
            <v>S106 - Gordano Gate Business Park/Sainsbury's, Cabstand improvements</v>
          </cell>
          <cell r="I23" t="str">
            <v>S106 - Scheme to enhance Cabstand. Possible to fund resurfacing work/ BSIP Public Transport Hub</v>
          </cell>
          <cell r="J23" t="str">
            <v>Safety &amp; Travel Plans</v>
          </cell>
          <cell r="K23" t="str">
            <v>Portishead North</v>
          </cell>
          <cell r="L23" t="str">
            <v>Portishead</v>
          </cell>
          <cell r="M23"/>
          <cell r="N23"/>
          <cell r="O23"/>
          <cell r="P23">
            <v>110726</v>
          </cell>
          <cell r="Q23">
            <v>110726</v>
          </cell>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t="str">
            <v>Not started</v>
          </cell>
          <cell r="BA23" t="str">
            <v>NA</v>
          </cell>
          <cell r="BB23" t="str">
            <v>NA</v>
          </cell>
          <cell r="BC23" t="str">
            <v>G</v>
          </cell>
          <cell r="BD23" t="str">
            <v>Funding slipped from 24/25. Awaiting project brief and resource to be identified to undertake work</v>
          </cell>
          <cell r="BE23" t="str">
            <v>A</v>
          </cell>
          <cell r="BF23" t="str">
            <v>A</v>
          </cell>
          <cell r="BG23" t="str">
            <v>A</v>
          </cell>
          <cell r="BH23" t="str">
            <v>A</v>
          </cell>
          <cell r="BI23" t="str">
            <v>N</v>
          </cell>
          <cell r="BJ23" t="str">
            <v>S106 - Scheme to enhance Cabstand. Funding to be used for a member Prioprity Scheme.</v>
          </cell>
        </row>
        <row r="24">
          <cell r="A24" t="str">
            <v>IT0247</v>
          </cell>
          <cell r="B24"/>
          <cell r="C24" t="str">
            <v>Live</v>
          </cell>
          <cell r="D24" t="str">
            <v>KDH105</v>
          </cell>
          <cell r="E24" t="str">
            <v>Safety &amp; Travel Plans</v>
          </cell>
          <cell r="F24" t="str">
            <v>RS2403</v>
          </cell>
          <cell r="G24" t="str">
            <v>H&amp;T000375</v>
          </cell>
          <cell r="H24" t="str">
            <v>S106 - Venus Street, Congresbury - Pedestrian Improvements and Traffic Calming</v>
          </cell>
          <cell r="I24" t="str">
            <v>S106 - Scheme completed 2023/24. Underspend slipped to 2024/25</v>
          </cell>
          <cell r="J24" t="str">
            <v>Safety &amp; Travel Plans</v>
          </cell>
          <cell r="K24" t="str">
            <v>Congresbury and Puxton</v>
          </cell>
          <cell r="L24" t="str">
            <v>Congresbury</v>
          </cell>
          <cell r="M24"/>
          <cell r="N24"/>
          <cell r="O24"/>
          <cell r="P24">
            <v>4648</v>
          </cell>
          <cell r="Q24">
            <v>4648</v>
          </cell>
          <cell r="R24"/>
          <cell r="S24"/>
          <cell r="T24"/>
          <cell r="U24"/>
          <cell r="V24"/>
          <cell r="W24"/>
          <cell r="X24"/>
          <cell r="Y24"/>
          <cell r="Z24" t="str">
            <v>RT</v>
          </cell>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t="str">
            <v>Complete</v>
          </cell>
          <cell r="BA24" t="str">
            <v>NA</v>
          </cell>
          <cell r="BB24" t="str">
            <v>NA</v>
          </cell>
          <cell r="BC24" t="str">
            <v>C</v>
          </cell>
          <cell r="BD24" t="str">
            <v>Surplus funding slipped from 24/25. Awaiting project brief and resource to be identified to undertake work</v>
          </cell>
          <cell r="BE24" t="str">
            <v>C</v>
          </cell>
          <cell r="BF24" t="str">
            <v>C</v>
          </cell>
          <cell r="BG24" t="str">
            <v>C</v>
          </cell>
          <cell r="BH24" t="str">
            <v>C</v>
          </cell>
          <cell r="BI24" t="str">
            <v>N</v>
          </cell>
          <cell r="BJ24" t="str">
            <v>Scheme completed 2023/24. Underspend slipped to 2024/25. Possible to use to support IT0317 Congresbury 20mph Stage 1 Feasibility work.</v>
          </cell>
        </row>
        <row r="25">
          <cell r="A25" t="str">
            <v>IT0519</v>
          </cell>
          <cell r="B25"/>
          <cell r="C25" t="str">
            <v>Live</v>
          </cell>
          <cell r="D25" t="str">
            <v>KDH105</v>
          </cell>
          <cell r="E25" t="str">
            <v>Safety &amp; Travel Plans</v>
          </cell>
          <cell r="F25" t="str">
            <v>RS2404</v>
          </cell>
          <cell r="G25" t="str">
            <v>H&amp;T000395</v>
          </cell>
          <cell r="H25" t="str">
            <v>A370 Flax Bourton Traffic Calming Scheme (Phase 2)</v>
          </cell>
          <cell r="I25" t="str">
            <v>Scheme completed 2023/24 with some outstanding works to be completed 2024/25.</v>
          </cell>
          <cell r="J25" t="str">
            <v>Safety &amp; Travel Plans</v>
          </cell>
          <cell r="K25" t="str">
            <v>Winford</v>
          </cell>
          <cell r="L25" t="str">
            <v>Flax Bourton</v>
          </cell>
          <cell r="M25"/>
          <cell r="N25"/>
          <cell r="O25"/>
          <cell r="P25">
            <v>8104</v>
          </cell>
          <cell r="Q25">
            <v>8104</v>
          </cell>
          <cell r="R25" t="str">
            <v>JG</v>
          </cell>
          <cell r="S25" t="str">
            <v>DM</v>
          </cell>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t="str">
            <v>Complete</v>
          </cell>
          <cell r="BA25" t="str">
            <v>NA</v>
          </cell>
          <cell r="BB25" t="str">
            <v>NA</v>
          </cell>
          <cell r="BC25" t="str">
            <v>C</v>
          </cell>
          <cell r="BD25" t="str">
            <v>Funding slipped to 24/25 FY to complete outstanding work.</v>
          </cell>
          <cell r="BE25" t="str">
            <v>C</v>
          </cell>
          <cell r="BF25" t="str">
            <v>C</v>
          </cell>
          <cell r="BG25" t="str">
            <v>C</v>
          </cell>
          <cell r="BH25" t="str">
            <v>C</v>
          </cell>
          <cell r="BI25" t="str">
            <v>N</v>
          </cell>
          <cell r="BJ25" t="str">
            <v>Completion and close out of 2023/24 scheme</v>
          </cell>
        </row>
        <row r="26">
          <cell r="A26" t="str">
            <v>ITx002</v>
          </cell>
          <cell r="B26"/>
          <cell r="C26" t="str">
            <v>Live</v>
          </cell>
          <cell r="D26" t="str">
            <v>KDH105</v>
          </cell>
          <cell r="E26" t="str">
            <v>Safety &amp; Travel Plans</v>
          </cell>
          <cell r="F26" t="str">
            <v>RS2405</v>
          </cell>
          <cell r="G26" t="str">
            <v>H&amp;T000282</v>
          </cell>
          <cell r="H26" t="str">
            <v>Road Safety - Investigation and design work for future years</v>
          </cell>
          <cell r="I26" t="str">
            <v>Analysis of 2023 Road Traffic Accident Data to identify trends and bring forward proposals for future interventions</v>
          </cell>
          <cell r="J26" t="str">
            <v>Safety &amp; Travel Plans</v>
          </cell>
          <cell r="K26" t="str">
            <v>District Wide</v>
          </cell>
          <cell r="L26" t="str">
            <v>District Wide</v>
          </cell>
          <cell r="M26"/>
          <cell r="N26"/>
          <cell r="O26">
            <v>30000</v>
          </cell>
          <cell r="P26"/>
          <cell r="Q26">
            <v>30000</v>
          </cell>
          <cell r="R26" t="str">
            <v>JG</v>
          </cell>
          <cell r="S26" t="str">
            <v>MM</v>
          </cell>
          <cell r="T26"/>
          <cell r="U26"/>
          <cell r="V26"/>
          <cell r="W26"/>
          <cell r="X26"/>
          <cell r="Y26"/>
          <cell r="Z26" t="str">
            <v>JD</v>
          </cell>
          <cell r="AA26"/>
          <cell r="AB26"/>
          <cell r="AC26"/>
          <cell r="AD26"/>
          <cell r="AE26"/>
          <cell r="AF26"/>
          <cell r="AG26"/>
          <cell r="AH26" t="str">
            <v>F</v>
          </cell>
          <cell r="AI26" t="str">
            <v>F</v>
          </cell>
          <cell r="AJ26" t="str">
            <v>F</v>
          </cell>
          <cell r="AK26" t="str">
            <v>F</v>
          </cell>
          <cell r="AL26" t="str">
            <v>F</v>
          </cell>
          <cell r="AM26" t="str">
            <v>F</v>
          </cell>
          <cell r="AN26"/>
          <cell r="AO26"/>
          <cell r="AP26"/>
          <cell r="AQ26"/>
          <cell r="AR26"/>
          <cell r="AS26"/>
          <cell r="AT26"/>
          <cell r="AU26"/>
          <cell r="AV26"/>
          <cell r="AW26"/>
          <cell r="AX26"/>
          <cell r="AY26"/>
          <cell r="AZ26" t="str">
            <v>Feasibility</v>
          </cell>
          <cell r="BA26" t="str">
            <v>NA</v>
          </cell>
          <cell r="BB26" t="str">
            <v>NA</v>
          </cell>
          <cell r="BC26" t="str">
            <v>G</v>
          </cell>
          <cell r="BD26" t="str">
            <v>Route and Cluster Collision data analysis to identify and design safety schemes to be included in future years works programmes</v>
          </cell>
          <cell r="BE26" t="str">
            <v>G</v>
          </cell>
          <cell r="BF26" t="str">
            <v>G</v>
          </cell>
          <cell r="BG26" t="str">
            <v>G</v>
          </cell>
          <cell r="BH26" t="str">
            <v>G</v>
          </cell>
          <cell r="BI26" t="str">
            <v>N</v>
          </cell>
          <cell r="BJ26" t="str">
            <v>Work has started and the cluster list has been identified. A number of Cluster Sites are going to be consdered for interventions.</v>
          </cell>
        </row>
        <row r="27">
          <cell r="A27" t="str">
            <v>IT1351</v>
          </cell>
          <cell r="B27"/>
          <cell r="C27" t="str">
            <v>Live</v>
          </cell>
          <cell r="D27" t="str">
            <v>KDH105</v>
          </cell>
          <cell r="E27" t="str">
            <v>Safety &amp; Travel Plans</v>
          </cell>
          <cell r="F27" t="str">
            <v>RS2406</v>
          </cell>
          <cell r="G27" t="str">
            <v>IT1351</v>
          </cell>
          <cell r="H27" t="str">
            <v>Road Safety - Francis Fox Roundabout</v>
          </cell>
          <cell r="I27" t="str">
            <v>Adjustments to road marking near Tesco entrance to reduce existing accident situation</v>
          </cell>
          <cell r="J27" t="str">
            <v>Safety &amp; Travel Plans</v>
          </cell>
          <cell r="K27" t="str">
            <v>Weston-super-Mare Central</v>
          </cell>
          <cell r="L27" t="str">
            <v>Weston-super-Mare</v>
          </cell>
          <cell r="M27"/>
          <cell r="N27"/>
          <cell r="O27">
            <v>20000</v>
          </cell>
          <cell r="P27"/>
          <cell r="Q27">
            <v>20000</v>
          </cell>
          <cell r="R27" t="str">
            <v>JG</v>
          </cell>
          <cell r="S27" t="str">
            <v>MM</v>
          </cell>
          <cell r="T27"/>
          <cell r="U27"/>
          <cell r="V27"/>
          <cell r="W27"/>
          <cell r="X27"/>
          <cell r="Y27"/>
          <cell r="Z27" t="str">
            <v>JD</v>
          </cell>
          <cell r="AA27"/>
          <cell r="AB27"/>
          <cell r="AC27" t="str">
            <v>D</v>
          </cell>
          <cell r="AD27" t="str">
            <v>D</v>
          </cell>
          <cell r="AE27" t="str">
            <v>C</v>
          </cell>
          <cell r="AF27" t="str">
            <v>C</v>
          </cell>
          <cell r="AG27" t="str">
            <v>M</v>
          </cell>
          <cell r="AH27" t="str">
            <v>M</v>
          </cell>
          <cell r="AI27" t="str">
            <v>I</v>
          </cell>
          <cell r="AJ27"/>
          <cell r="AM27"/>
          <cell r="AN27"/>
          <cell r="AO27"/>
          <cell r="AP27"/>
          <cell r="AQ27"/>
          <cell r="AR27"/>
          <cell r="AS27"/>
          <cell r="AT27"/>
          <cell r="AU27"/>
          <cell r="AV27"/>
          <cell r="AW27"/>
          <cell r="AX27"/>
          <cell r="AY27"/>
          <cell r="AZ27" t="str">
            <v>On site.</v>
          </cell>
          <cell r="BA27">
            <v>45536</v>
          </cell>
          <cell r="BB27">
            <v>45597</v>
          </cell>
          <cell r="BC27" t="str">
            <v>G</v>
          </cell>
          <cell r="BD27" t="str">
            <v>On site..</v>
          </cell>
          <cell r="BE27" t="str">
            <v>G</v>
          </cell>
          <cell r="BF27" t="str">
            <v>G</v>
          </cell>
          <cell r="BG27" t="str">
            <v>G</v>
          </cell>
          <cell r="BH27" t="str">
            <v>G</v>
          </cell>
          <cell r="BI27" t="str">
            <v>N</v>
          </cell>
          <cell r="BJ27" t="str">
            <v>On site.</v>
          </cell>
        </row>
        <row r="28">
          <cell r="A28" t="str">
            <v>IT1349</v>
          </cell>
          <cell r="B28"/>
          <cell r="C28" t="str">
            <v>Live</v>
          </cell>
          <cell r="D28" t="str">
            <v>KDH105</v>
          </cell>
          <cell r="E28" t="str">
            <v>Safety &amp; Travel Plans</v>
          </cell>
          <cell r="F28" t="str">
            <v>RS2407</v>
          </cell>
          <cell r="G28" t="str">
            <v>IT1349</v>
          </cell>
          <cell r="H28" t="str">
            <v>Road Safety - Weston-super-Mare A370 Speed Limit improvements</v>
          </cell>
          <cell r="I28" t="str">
            <v>Review of speed limits on the main dual carriageway into Weston-super-Mare to make more consistent and reduce number and severity of accidents.</v>
          </cell>
          <cell r="J28" t="str">
            <v>Safety &amp; Travel Plans</v>
          </cell>
          <cell r="K28" t="str">
            <v>Multiple</v>
          </cell>
          <cell r="L28" t="str">
            <v>Weston-super-Mare</v>
          </cell>
          <cell r="M28"/>
          <cell r="N28"/>
          <cell r="O28">
            <v>20000</v>
          </cell>
          <cell r="P28"/>
          <cell r="Q28">
            <v>20000</v>
          </cell>
          <cell r="R28" t="str">
            <v>JG</v>
          </cell>
          <cell r="S28" t="str">
            <v>MM</v>
          </cell>
          <cell r="T28"/>
          <cell r="U28"/>
          <cell r="V28"/>
          <cell r="W28"/>
          <cell r="X28"/>
          <cell r="Y28"/>
          <cell r="Z28" t="str">
            <v>JD</v>
          </cell>
          <cell r="AA28"/>
          <cell r="AB28"/>
          <cell r="AC28"/>
          <cell r="AD28"/>
          <cell r="AE28"/>
          <cell r="AF28"/>
          <cell r="AG28"/>
          <cell r="AH28" t="str">
            <v>D</v>
          </cell>
          <cell r="AI28" t="str">
            <v>D</v>
          </cell>
          <cell r="AJ28" t="str">
            <v>D</v>
          </cell>
          <cell r="AK28" t="str">
            <v>C</v>
          </cell>
          <cell r="AL28" t="str">
            <v>C</v>
          </cell>
          <cell r="AM28"/>
          <cell r="AN28"/>
          <cell r="AO28"/>
          <cell r="AP28"/>
          <cell r="AQ28"/>
          <cell r="AR28"/>
          <cell r="AS28"/>
          <cell r="AT28"/>
          <cell r="AU28"/>
          <cell r="AV28"/>
          <cell r="AW28"/>
          <cell r="AX28"/>
          <cell r="AY28"/>
          <cell r="AZ28" t="str">
            <v>Detailed Design</v>
          </cell>
          <cell r="BA28">
            <v>45658</v>
          </cell>
          <cell r="BB28">
            <v>45870</v>
          </cell>
          <cell r="BC28" t="str">
            <v>G</v>
          </cell>
          <cell r="BD28" t="str">
            <v>Detailed design being carried out to make speed limits more consistent on A370 in line with current traffic volumes</v>
          </cell>
          <cell r="BE28" t="str">
            <v>G</v>
          </cell>
          <cell r="BF28" t="str">
            <v>G</v>
          </cell>
          <cell r="BG28" t="str">
            <v>G</v>
          </cell>
          <cell r="BH28" t="str">
            <v>G</v>
          </cell>
          <cell r="BI28" t="str">
            <v>N</v>
          </cell>
          <cell r="BJ28" t="str">
            <v>Report complete.  Consultation to be undertaken.</v>
          </cell>
        </row>
        <row r="29">
          <cell r="A29" t="str">
            <v>IT1313</v>
          </cell>
          <cell r="B29"/>
          <cell r="C29" t="str">
            <v>Live</v>
          </cell>
          <cell r="D29" t="str">
            <v>KDH105</v>
          </cell>
          <cell r="E29" t="str">
            <v>Safety &amp; Travel Plans</v>
          </cell>
          <cell r="F29" t="str">
            <v>RS2408</v>
          </cell>
          <cell r="G29" t="str">
            <v>IT1313</v>
          </cell>
          <cell r="H29" t="str">
            <v>Road Safety - Bucklands Batch Cycling 
(Design and consultation only)</v>
          </cell>
          <cell r="I29" t="str">
            <v>Accident Investigation and Feasibility work to make improvements to the cycle infrastructure to reduce cycle/ pedestrian conflicts</v>
          </cell>
          <cell r="J29" t="str">
            <v>Safety and Travel Plans</v>
          </cell>
          <cell r="K29" t="str">
            <v>Multiple</v>
          </cell>
          <cell r="L29" t="str">
            <v>Multiple</v>
          </cell>
          <cell r="M29"/>
          <cell r="N29"/>
          <cell r="O29">
            <v>10000</v>
          </cell>
          <cell r="P29"/>
          <cell r="Q29">
            <v>10000</v>
          </cell>
          <cell r="R29" t="str">
            <v>JG</v>
          </cell>
          <cell r="S29" t="str">
            <v>MM</v>
          </cell>
          <cell r="T29"/>
          <cell r="U29"/>
          <cell r="V29"/>
          <cell r="W29"/>
          <cell r="X29"/>
          <cell r="Y29"/>
          <cell r="Z29" t="str">
            <v>JD</v>
          </cell>
          <cell r="AA29"/>
          <cell r="AB29"/>
          <cell r="AC29"/>
          <cell r="AD29"/>
          <cell r="AE29"/>
          <cell r="AF29"/>
          <cell r="AH29" t="str">
            <v>F</v>
          </cell>
          <cell r="AI29" t="str">
            <v>F</v>
          </cell>
          <cell r="AJ29" t="str">
            <v>P</v>
          </cell>
          <cell r="AK29" t="str">
            <v>P</v>
          </cell>
          <cell r="AL29" t="str">
            <v>C</v>
          </cell>
          <cell r="AM29" t="str">
            <v>C</v>
          </cell>
          <cell r="AN29"/>
          <cell r="AO29"/>
          <cell r="AP29"/>
          <cell r="AQ29"/>
          <cell r="AR29"/>
          <cell r="AS29"/>
          <cell r="AT29"/>
          <cell r="AU29"/>
          <cell r="AV29"/>
          <cell r="AW29"/>
          <cell r="AX29"/>
          <cell r="AY29"/>
          <cell r="AZ29" t="str">
            <v>Preliminary Design</v>
          </cell>
          <cell r="BA29">
            <v>45689</v>
          </cell>
          <cell r="BB29" t="str">
            <v>NA</v>
          </cell>
          <cell r="BC29" t="str">
            <v>G</v>
          </cell>
          <cell r="BD29" t="str">
            <v>Recieved indipendant assessment report.  Undertaking design and costing work, to be included on a future works programme.</v>
          </cell>
          <cell r="BE29" t="str">
            <v>G</v>
          </cell>
          <cell r="BF29" t="str">
            <v>G</v>
          </cell>
          <cell r="BG29" t="str">
            <v>G</v>
          </cell>
          <cell r="BH29" t="str">
            <v>G</v>
          </cell>
          <cell r="BI29" t="str">
            <v>N</v>
          </cell>
          <cell r="BJ29" t="str">
            <v xml:space="preserve">Accident investigation complete and report issued. Design work being undertaken to cost improvements. </v>
          </cell>
        </row>
        <row r="30">
          <cell r="A30" t="str">
            <v>IT1350</v>
          </cell>
          <cell r="B30"/>
          <cell r="C30" t="str">
            <v>Live</v>
          </cell>
          <cell r="D30" t="str">
            <v>KDH105</v>
          </cell>
          <cell r="E30" t="str">
            <v>Safety &amp; Travel Plans</v>
          </cell>
          <cell r="F30" t="str">
            <v>RS2409</v>
          </cell>
          <cell r="G30" t="str">
            <v>IT1350</v>
          </cell>
          <cell r="H30" t="str">
            <v>Road Safety - Failand crossroads
(Design and consultation only)</v>
          </cell>
          <cell r="I30" t="str">
            <v>Investigations and modelling to reduce accidents on cross roads. Option 1 - to provide a dedicated right turn lane from A370 to Weston Road. Option 2 - To ban right turn from A370 to Weston Road</v>
          </cell>
          <cell r="J30" t="str">
            <v>Safety and Travel Plans</v>
          </cell>
          <cell r="K30" t="str">
            <v>Long Ashton</v>
          </cell>
          <cell r="L30" t="str">
            <v>Multiple</v>
          </cell>
          <cell r="M30"/>
          <cell r="N30"/>
          <cell r="O30">
            <v>10000</v>
          </cell>
          <cell r="P30"/>
          <cell r="Q30">
            <v>10000</v>
          </cell>
          <cell r="R30" t="str">
            <v>JG</v>
          </cell>
          <cell r="S30" t="str">
            <v>MM</v>
          </cell>
          <cell r="T30"/>
          <cell r="U30"/>
          <cell r="V30"/>
          <cell r="W30"/>
          <cell r="X30"/>
          <cell r="Y30"/>
          <cell r="Z30" t="str">
            <v>JD</v>
          </cell>
          <cell r="AA30"/>
          <cell r="AB30"/>
          <cell r="AC30"/>
          <cell r="AD30"/>
          <cell r="AE30"/>
          <cell r="AF30"/>
          <cell r="AG30"/>
          <cell r="AI30" t="str">
            <v>D</v>
          </cell>
          <cell r="AJ30" t="str">
            <v>D</v>
          </cell>
          <cell r="AK30" t="str">
            <v>C</v>
          </cell>
          <cell r="AL30" t="str">
            <v>C</v>
          </cell>
          <cell r="AM30"/>
          <cell r="AN30"/>
          <cell r="AO30"/>
          <cell r="AP30"/>
          <cell r="AQ30"/>
          <cell r="AR30"/>
          <cell r="AS30"/>
          <cell r="AT30"/>
          <cell r="AU30"/>
          <cell r="AV30"/>
          <cell r="AW30"/>
          <cell r="AX30"/>
          <cell r="AY30"/>
          <cell r="AZ30" t="str">
            <v>Preliminary Design</v>
          </cell>
          <cell r="BA30">
            <v>45658</v>
          </cell>
          <cell r="BB30" t="str">
            <v>NA</v>
          </cell>
          <cell r="BC30" t="str">
            <v>G</v>
          </cell>
          <cell r="BD30" t="str">
            <v>To undertake design work to reduce frequency of accidents. To be implemented as part of future refurbishment works.</v>
          </cell>
          <cell r="BE30" t="str">
            <v>G</v>
          </cell>
          <cell r="BF30" t="str">
            <v>G</v>
          </cell>
          <cell r="BG30" t="str">
            <v>G</v>
          </cell>
          <cell r="BH30" t="str">
            <v>G</v>
          </cell>
          <cell r="BI30" t="str">
            <v>N</v>
          </cell>
          <cell r="BJ30" t="str">
            <v>Design work has been commenced.</v>
          </cell>
        </row>
        <row r="31">
          <cell r="A31" t="str">
            <v>IT1097</v>
          </cell>
          <cell r="B31"/>
          <cell r="C31" t="str">
            <v>Live</v>
          </cell>
          <cell r="D31" t="str">
            <v>KDH105</v>
          </cell>
          <cell r="E31" t="str">
            <v>Safety and Travel Plans</v>
          </cell>
          <cell r="F31" t="str">
            <v>RS2410</v>
          </cell>
          <cell r="G31" t="str">
            <v>IT1097</v>
          </cell>
          <cell r="H31" t="str">
            <v>Queen's Road, Nailsea - Speed limit and crossings (Design and consultation only)</v>
          </cell>
          <cell r="I31" t="str">
            <v xml:space="preserve">Reduce speeds to 30mph along whole length of Queens Road. Improve priority at crossings. </v>
          </cell>
          <cell r="J31" t="str">
            <v>Safety and Travel Plans</v>
          </cell>
          <cell r="K31" t="str">
            <v>Multiple</v>
          </cell>
          <cell r="L31" t="str">
            <v>Nailsea</v>
          </cell>
          <cell r="M31"/>
          <cell r="N31"/>
          <cell r="O31">
            <v>10000</v>
          </cell>
          <cell r="P31"/>
          <cell r="Q31">
            <v>10000</v>
          </cell>
          <cell r="R31" t="str">
            <v>JG</v>
          </cell>
          <cell r="S31" t="str">
            <v>DM</v>
          </cell>
          <cell r="T31"/>
          <cell r="U31"/>
          <cell r="V31"/>
          <cell r="W31"/>
          <cell r="X31"/>
          <cell r="Y31"/>
          <cell r="Z31" t="str">
            <v>LT</v>
          </cell>
          <cell r="AA31"/>
          <cell r="AB31"/>
          <cell r="AC31" t="str">
            <v>P</v>
          </cell>
          <cell r="AD31" t="str">
            <v>P</v>
          </cell>
          <cell r="AE31" t="str">
            <v>C</v>
          </cell>
          <cell r="AF31" t="str">
            <v>C</v>
          </cell>
          <cell r="AG31" t="str">
            <v>C</v>
          </cell>
          <cell r="AH31"/>
          <cell r="AI31"/>
          <cell r="AJ31"/>
          <cell r="AK31"/>
          <cell r="AL31"/>
          <cell r="AM31"/>
          <cell r="AN31"/>
          <cell r="AO31"/>
          <cell r="AP31"/>
          <cell r="AQ31"/>
          <cell r="AR31"/>
          <cell r="AS31"/>
          <cell r="AT31"/>
          <cell r="AU31"/>
          <cell r="AV31"/>
          <cell r="AW31"/>
          <cell r="AX31"/>
          <cell r="AY31"/>
          <cell r="AZ31" t="str">
            <v>Consultation</v>
          </cell>
          <cell r="BA31">
            <v>45597</v>
          </cell>
          <cell r="BB31" t="str">
            <v>NA</v>
          </cell>
          <cell r="BC31" t="str">
            <v>G</v>
          </cell>
          <cell r="BD31" t="str">
            <v xml:space="preserve"> Consultation being undertaken.</v>
          </cell>
          <cell r="BE31" t="str">
            <v>G</v>
          </cell>
          <cell r="BF31" t="str">
            <v>G</v>
          </cell>
          <cell r="BG31" t="str">
            <v>G</v>
          </cell>
          <cell r="BH31" t="str">
            <v>G</v>
          </cell>
          <cell r="BI31" t="str">
            <v>N</v>
          </cell>
          <cell r="BJ31" t="str">
            <v>Consultation being undertaken.</v>
          </cell>
        </row>
        <row r="32">
          <cell r="A32" t="str">
            <v>IT0263</v>
          </cell>
          <cell r="B32" t="str">
            <v>D</v>
          </cell>
          <cell r="C32" t="str">
            <v>Live</v>
          </cell>
          <cell r="D32" t="str">
            <v>KDH106</v>
          </cell>
          <cell r="E32" t="str">
            <v>Other Schemes</v>
          </cell>
          <cell r="F32" t="str">
            <v>ST2401</v>
          </cell>
          <cell r="G32" t="str">
            <v>H&amp;T000301</v>
          </cell>
          <cell r="H32" t="str">
            <v>TROs for school keep clear markings</v>
          </cell>
          <cell r="I32" t="str">
            <v>Review and remarking of school keep clear markings</v>
          </cell>
          <cell r="J32" t="str">
            <v>Other Schemes</v>
          </cell>
          <cell r="K32" t="str">
            <v>District Wide</v>
          </cell>
          <cell r="L32" t="str">
            <v>District Wide</v>
          </cell>
          <cell r="M32"/>
          <cell r="N32"/>
          <cell r="O32">
            <v>30000</v>
          </cell>
          <cell r="P32">
            <v>0</v>
          </cell>
          <cell r="Q32">
            <v>30000</v>
          </cell>
          <cell r="R32" t="str">
            <v>JG</v>
          </cell>
          <cell r="S32" t="str">
            <v>IW</v>
          </cell>
          <cell r="T32"/>
          <cell r="U32"/>
          <cell r="V32"/>
          <cell r="W32"/>
          <cell r="X32"/>
          <cell r="Y32"/>
          <cell r="Z32" t="str">
            <v>EM/ AE</v>
          </cell>
          <cell r="AA32"/>
          <cell r="AB32" t="str">
            <v>D</v>
          </cell>
          <cell r="AC32" t="str">
            <v>D</v>
          </cell>
          <cell r="AD32" t="str">
            <v>D</v>
          </cell>
          <cell r="AE32" t="str">
            <v>C</v>
          </cell>
          <cell r="AF32" t="str">
            <v>C</v>
          </cell>
          <cell r="AG32" t="str">
            <v>C</v>
          </cell>
          <cell r="AH32" t="str">
            <v>M</v>
          </cell>
          <cell r="AI32" t="str">
            <v>M</v>
          </cell>
          <cell r="AJ32" t="str">
            <v>M</v>
          </cell>
          <cell r="AK32" t="str">
            <v>I</v>
          </cell>
          <cell r="AL32" t="str">
            <v>I</v>
          </cell>
          <cell r="AM32" t="str">
            <v>I</v>
          </cell>
          <cell r="AN32"/>
          <cell r="AO32"/>
          <cell r="AP32"/>
          <cell r="AQ32"/>
          <cell r="AR32"/>
          <cell r="AS32"/>
          <cell r="AT32"/>
          <cell r="AU32"/>
          <cell r="AV32"/>
          <cell r="AW32"/>
          <cell r="AX32"/>
          <cell r="AY32"/>
          <cell r="AZ32" t="str">
            <v>Detailed Design</v>
          </cell>
          <cell r="BA32">
            <v>45474</v>
          </cell>
          <cell r="BB32">
            <v>45658</v>
          </cell>
          <cell r="BC32" t="str">
            <v>G</v>
          </cell>
          <cell r="BD32" t="str">
            <v>Surveys and design work complete.  Implementation deferred until next financial year.</v>
          </cell>
          <cell r="BE32" t="str">
            <v>A</v>
          </cell>
          <cell r="BF32" t="str">
            <v>A</v>
          </cell>
          <cell r="BG32" t="str">
            <v>G</v>
          </cell>
          <cell r="BH32" t="str">
            <v>A</v>
          </cell>
          <cell r="BI32" t="str">
            <v>N</v>
          </cell>
          <cell r="BJ32" t="str">
            <v>TRO and implementation during 2024/25. Little progress has been made. There is concern that the scheme will not be delivered this FY. There is concern that there will be an increase in urgent work for the TRO Team  (Parking charges) and there will be little resource to support this,</v>
          </cell>
        </row>
        <row r="33">
          <cell r="A33" t="str">
            <v>IT0317</v>
          </cell>
          <cell r="B33"/>
          <cell r="C33" t="str">
            <v>Live</v>
          </cell>
          <cell r="D33" t="str">
            <v>KDH105</v>
          </cell>
          <cell r="E33" t="str">
            <v>Other Schemes</v>
          </cell>
          <cell r="F33" t="str">
            <v>ST2402</v>
          </cell>
          <cell r="G33" t="str">
            <v>IT0317</v>
          </cell>
          <cell r="H33" t="str">
            <v>Congresbury 20mph</v>
          </cell>
          <cell r="I33" t="str">
            <v>To implement a 20mph limit on B3133 Brinsea Road, Kent Road and Wrington Lane as per proposal doc dated June 2021 from Congresbury Parish Council, saved in the IT0317 folder on Teams (see comments box)</v>
          </cell>
          <cell r="J33" t="str">
            <v>Other Schemes</v>
          </cell>
          <cell r="K33" t="str">
            <v>Congresbury and Puxton</v>
          </cell>
          <cell r="L33" t="str">
            <v>Congresbury</v>
          </cell>
          <cell r="M33"/>
          <cell r="N33"/>
          <cell r="O33">
            <v>5000</v>
          </cell>
          <cell r="P33"/>
          <cell r="Q33">
            <v>5000</v>
          </cell>
          <cell r="R33" t="str">
            <v>JG</v>
          </cell>
          <cell r="S33" t="str">
            <v>SA</v>
          </cell>
          <cell r="T33"/>
          <cell r="U33"/>
          <cell r="V33"/>
          <cell r="W33"/>
          <cell r="X33"/>
          <cell r="Y33"/>
          <cell r="Z33" t="str">
            <v>RT</v>
          </cell>
          <cell r="AA33"/>
          <cell r="AB33"/>
          <cell r="AC33"/>
          <cell r="AD33"/>
          <cell r="AE33"/>
          <cell r="AF33"/>
          <cell r="AH33" t="str">
            <v>F</v>
          </cell>
          <cell r="AI33" t="str">
            <v>F</v>
          </cell>
          <cell r="AJ33" t="str">
            <v>P</v>
          </cell>
          <cell r="AK33" t="str">
            <v>P</v>
          </cell>
          <cell r="AL33" t="str">
            <v>C</v>
          </cell>
          <cell r="AM33" t="str">
            <v>C</v>
          </cell>
          <cell r="AN33"/>
          <cell r="AO33"/>
          <cell r="AP33"/>
          <cell r="AQ33"/>
          <cell r="AR33"/>
          <cell r="AS33"/>
          <cell r="AT33"/>
          <cell r="AU33"/>
          <cell r="AV33"/>
          <cell r="AW33"/>
          <cell r="AX33"/>
          <cell r="AY33"/>
          <cell r="AZ33" t="str">
            <v>Feasibility</v>
          </cell>
          <cell r="BA33">
            <v>45689</v>
          </cell>
          <cell r="BB33" t="str">
            <v>NA</v>
          </cell>
          <cell r="BC33" t="str">
            <v>G</v>
          </cell>
          <cell r="BD33" t="str">
            <v>Design and consultation only for inclusion in future programme</v>
          </cell>
          <cell r="BE33" t="str">
            <v>G</v>
          </cell>
          <cell r="BF33" t="str">
            <v>G</v>
          </cell>
          <cell r="BG33" t="str">
            <v>G</v>
          </cell>
          <cell r="BH33" t="str">
            <v>G</v>
          </cell>
          <cell r="BI33" t="str">
            <v>N</v>
          </cell>
          <cell r="BJ33" t="str">
            <v>Brief received and investigations commenced to ascertain the extents of the proposed scheme.</v>
          </cell>
        </row>
        <row r="34">
          <cell r="A34" t="str">
            <v>IT0315</v>
          </cell>
          <cell r="B34" t="str">
            <v>S</v>
          </cell>
          <cell r="C34" t="str">
            <v>Live</v>
          </cell>
          <cell r="D34" t="str">
            <v>KDH106</v>
          </cell>
          <cell r="E34" t="str">
            <v>Other Schemes</v>
          </cell>
          <cell r="F34" t="str">
            <v>ST2403</v>
          </cell>
          <cell r="G34" t="str">
            <v>H&amp;T000299</v>
          </cell>
          <cell r="H34" t="str">
            <v>Hutton 20mph</v>
          </cell>
          <cell r="I34" t="str">
            <v>Reduce speeds around village centre and residential streets</v>
          </cell>
          <cell r="J34" t="str">
            <v>Other Schemes</v>
          </cell>
          <cell r="K34" t="str">
            <v>Hutton and Locking</v>
          </cell>
          <cell r="L34" t="str">
            <v>Hutton</v>
          </cell>
          <cell r="M34"/>
          <cell r="N34"/>
          <cell r="O34">
            <v>25000</v>
          </cell>
          <cell r="P34"/>
          <cell r="Q34">
            <v>25000</v>
          </cell>
          <cell r="R34" t="str">
            <v>JG</v>
          </cell>
          <cell r="S34" t="str">
            <v>SA</v>
          </cell>
          <cell r="T34" t="str">
            <v>DB</v>
          </cell>
          <cell r="U34" t="str">
            <v>KD</v>
          </cell>
          <cell r="V34" t="str">
            <v>LC</v>
          </cell>
          <cell r="W34"/>
          <cell r="X34"/>
          <cell r="Y34"/>
          <cell r="Z34" t="str">
            <v>RT</v>
          </cell>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t="str">
            <v>Complete</v>
          </cell>
          <cell r="BA34">
            <v>45444</v>
          </cell>
          <cell r="BB34">
            <v>45597</v>
          </cell>
          <cell r="BC34" t="str">
            <v>C</v>
          </cell>
          <cell r="BD34" t="str">
            <v>Complete.</v>
          </cell>
          <cell r="BE34" t="str">
            <v>C</v>
          </cell>
          <cell r="BF34" t="str">
            <v>C</v>
          </cell>
          <cell r="BG34" t="str">
            <v>C</v>
          </cell>
          <cell r="BH34" t="str">
            <v>C</v>
          </cell>
          <cell r="BI34" t="str">
            <v>N</v>
          </cell>
          <cell r="BJ34" t="str">
            <v>Complete</v>
          </cell>
        </row>
        <row r="35">
          <cell r="A35" t="str">
            <v>ITx003</v>
          </cell>
          <cell r="B35"/>
          <cell r="C35" t="str">
            <v>Live</v>
          </cell>
          <cell r="D35" t="str">
            <v>KDH106</v>
          </cell>
          <cell r="E35" t="str">
            <v>Other Schemes</v>
          </cell>
          <cell r="F35" t="str">
            <v>ST2404</v>
          </cell>
          <cell r="G35"/>
          <cell r="H35" t="str">
            <v>Members One Front Door priority schemes</v>
          </cell>
          <cell r="I35" t="str">
            <v>To bring forward Local Member proposed Highway Schemes as prioritised by Scrutiny Panel</v>
          </cell>
          <cell r="J35" t="str">
            <v>Other Schemes</v>
          </cell>
          <cell r="K35" t="str">
            <v>District Wide</v>
          </cell>
          <cell r="L35" t="str">
            <v>District Wide</v>
          </cell>
          <cell r="M35"/>
          <cell r="N35"/>
          <cell r="O35">
            <v>114000</v>
          </cell>
          <cell r="P35"/>
          <cell r="Q35">
            <v>114000</v>
          </cell>
          <cell r="R35" t="str">
            <v>JG</v>
          </cell>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t="str">
            <v>Preliminary Design</v>
          </cell>
          <cell r="BA35" t="str">
            <v>NA</v>
          </cell>
          <cell r="BB35" t="str">
            <v>NA</v>
          </cell>
          <cell r="BC35" t="str">
            <v>G</v>
          </cell>
          <cell r="BD35" t="str">
            <v>The list of schemes has been confirmed, preliminary designs have been commenced.</v>
          </cell>
          <cell r="BE35" t="str">
            <v>G</v>
          </cell>
          <cell r="BF35" t="str">
            <v>G</v>
          </cell>
          <cell r="BG35" t="str">
            <v>G</v>
          </cell>
          <cell r="BH35" t="str">
            <v>G</v>
          </cell>
          <cell r="BI35" t="str">
            <v>N</v>
          </cell>
          <cell r="BJ35" t="str">
            <v>Schemes confirmed and preliminary designs commenced.</v>
          </cell>
        </row>
        <row r="36">
          <cell r="A36" t="str">
            <v>ITx004</v>
          </cell>
          <cell r="B36"/>
          <cell r="C36" t="str">
            <v>Live</v>
          </cell>
          <cell r="D36" t="str">
            <v>KDH106</v>
          </cell>
          <cell r="E36" t="str">
            <v>Other Schemes</v>
          </cell>
          <cell r="F36" t="str">
            <v>ST2405</v>
          </cell>
          <cell r="G36" t="str">
            <v>H&amp;T000154</v>
          </cell>
          <cell r="H36" t="str">
            <v>PRaMS</v>
          </cell>
          <cell r="I36" t="str">
            <v>Parking Restrictions and Minor Schemes.</v>
          </cell>
          <cell r="J36" t="str">
            <v>Other Schemes</v>
          </cell>
          <cell r="K36" t="str">
            <v>District Wide</v>
          </cell>
          <cell r="L36" t="str">
            <v>District Wide</v>
          </cell>
          <cell r="M36"/>
          <cell r="N36"/>
          <cell r="O36">
            <v>100000</v>
          </cell>
          <cell r="P36"/>
          <cell r="Q36">
            <v>100000</v>
          </cell>
          <cell r="R36" t="str">
            <v>JG</v>
          </cell>
          <cell r="S36" t="str">
            <v>DB</v>
          </cell>
          <cell r="T36" t="str">
            <v>RD</v>
          </cell>
          <cell r="U36"/>
          <cell r="V36"/>
          <cell r="W36"/>
          <cell r="X36"/>
          <cell r="Y36"/>
          <cell r="Z36" t="str">
            <v>DB</v>
          </cell>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t="str">
            <v>Complete</v>
          </cell>
          <cell r="BA36" t="str">
            <v>NA</v>
          </cell>
          <cell r="BB36" t="str">
            <v>NA</v>
          </cell>
          <cell r="BC36" t="str">
            <v>C</v>
          </cell>
          <cell r="BD36" t="str">
            <v>Complete.  No further works possible, diue to budget constriants.</v>
          </cell>
          <cell r="BE36" t="str">
            <v>G</v>
          </cell>
          <cell r="BF36" t="str">
            <v>G</v>
          </cell>
          <cell r="BG36" t="str">
            <v>G</v>
          </cell>
          <cell r="BH36" t="str">
            <v>G</v>
          </cell>
          <cell r="BI36" t="str">
            <v>N</v>
          </cell>
          <cell r="BJ36" t="str">
            <v>New schemes paused, due to lack of budget.</v>
          </cell>
        </row>
        <row r="37">
          <cell r="A37" t="str">
            <v>IT0320</v>
          </cell>
          <cell r="B37"/>
          <cell r="C37" t="str">
            <v>Live</v>
          </cell>
          <cell r="D37" t="str">
            <v>KDH106</v>
          </cell>
          <cell r="E37" t="str">
            <v>Other Schemes</v>
          </cell>
          <cell r="F37" t="str">
            <v>ST2407</v>
          </cell>
          <cell r="G37" t="str">
            <v>IT0320</v>
          </cell>
          <cell r="H37" t="str">
            <v>Kenn 20mph</v>
          </cell>
          <cell r="I37" t="str">
            <v xml:space="preserve">To reduce the risks to pedestrians, cyclists, equestrians and residents from traffic travelling along the road at inappropriate speeds. </v>
          </cell>
          <cell r="J37" t="str">
            <v>Other Schemes</v>
          </cell>
          <cell r="K37" t="str">
            <v>Yatton</v>
          </cell>
          <cell r="L37" t="str">
            <v>Kenn</v>
          </cell>
          <cell r="M37"/>
          <cell r="N37"/>
          <cell r="O37">
            <v>12000</v>
          </cell>
          <cell r="P37"/>
          <cell r="Q37">
            <v>12000</v>
          </cell>
          <cell r="R37" t="str">
            <v>JG</v>
          </cell>
          <cell r="S37" t="str">
            <v>RD</v>
          </cell>
          <cell r="T37" t="str">
            <v>DB</v>
          </cell>
          <cell r="U37" t="str">
            <v>KD</v>
          </cell>
          <cell r="V37" t="str">
            <v>LC</v>
          </cell>
          <cell r="W37"/>
          <cell r="X37"/>
          <cell r="Y37"/>
          <cell r="Z37" t="str">
            <v>RT</v>
          </cell>
          <cell r="AA37"/>
          <cell r="AB37" t="str">
            <v>D</v>
          </cell>
          <cell r="AC37" t="str">
            <v>D</v>
          </cell>
          <cell r="AD37" t="str">
            <v>C</v>
          </cell>
          <cell r="AE37" t="str">
            <v>C</v>
          </cell>
          <cell r="AF37" t="str">
            <v>C</v>
          </cell>
          <cell r="AG37" t="str">
            <v>C</v>
          </cell>
          <cell r="AH37" t="str">
            <v>C</v>
          </cell>
          <cell r="AI37" t="str">
            <v>C</v>
          </cell>
          <cell r="AJ37" t="str">
            <v>C</v>
          </cell>
          <cell r="AK37" t="str">
            <v>M</v>
          </cell>
          <cell r="AL37" t="str">
            <v>M</v>
          </cell>
          <cell r="AM37" t="str">
            <v>I</v>
          </cell>
          <cell r="AN37"/>
          <cell r="AO37"/>
          <cell r="AP37"/>
          <cell r="AQ37"/>
          <cell r="AR37"/>
          <cell r="AS37"/>
          <cell r="AT37"/>
          <cell r="AU37"/>
          <cell r="AV37"/>
          <cell r="AW37"/>
          <cell r="AX37"/>
          <cell r="AY37"/>
          <cell r="AZ37" t="str">
            <v>Consultation</v>
          </cell>
          <cell r="BA37">
            <v>45566</v>
          </cell>
          <cell r="BB37">
            <v>45658</v>
          </cell>
          <cell r="BC37" t="str">
            <v>G</v>
          </cell>
          <cell r="BD37" t="str">
            <v>Extents of scheme identified. Informal Consultation to be undertaken.</v>
          </cell>
          <cell r="BE37" t="str">
            <v>G</v>
          </cell>
          <cell r="BF37" t="str">
            <v>G</v>
          </cell>
          <cell r="BG37" t="str">
            <v>G</v>
          </cell>
          <cell r="BH37" t="str">
            <v>G</v>
          </cell>
          <cell r="BI37" t="str">
            <v>N</v>
          </cell>
          <cell r="BJ37" t="str">
            <v>Consultation being undertaken, ahead of advertising TRO.
Consultation slight delayed due to staff annual leave.</v>
          </cell>
        </row>
        <row r="38">
          <cell r="A38" t="str">
            <v>IT0012</v>
          </cell>
          <cell r="B38" t="str">
            <v>S</v>
          </cell>
          <cell r="C38" t="str">
            <v>Live</v>
          </cell>
          <cell r="D38" t="str">
            <v>KDH109</v>
          </cell>
          <cell r="E38" t="str">
            <v>Crossing Cutting</v>
          </cell>
          <cell r="F38" t="str">
            <v>CC2401</v>
          </cell>
          <cell r="G38" t="str">
            <v>H&amp;T000107</v>
          </cell>
          <cell r="H38" t="str">
            <v xml:space="preserve"> Connected Yatton: Active Travel Enhancements</v>
          </cell>
          <cell r="I38" t="str">
            <v>20mph limit supported by speed cushions and enhanced pedestrian crossings, extension to 30mph speed limit</v>
          </cell>
          <cell r="J38" t="str">
            <v>Crossing Cutting</v>
          </cell>
          <cell r="K38" t="str">
            <v>Yatton</v>
          </cell>
          <cell r="L38" t="str">
            <v>Yatton</v>
          </cell>
          <cell r="M38"/>
          <cell r="N38"/>
          <cell r="O38"/>
          <cell r="P38">
            <v>218125</v>
          </cell>
          <cell r="Q38">
            <v>218125</v>
          </cell>
          <cell r="R38" t="str">
            <v>JG</v>
          </cell>
          <cell r="S38" t="str">
            <v>DM</v>
          </cell>
          <cell r="T38" t="str">
            <v>DB</v>
          </cell>
          <cell r="U38" t="str">
            <v>KD</v>
          </cell>
          <cell r="V38" t="str">
            <v>LC</v>
          </cell>
          <cell r="W38"/>
          <cell r="X38"/>
          <cell r="Y38"/>
          <cell r="Z38"/>
          <cell r="AA38"/>
          <cell r="AB38" t="str">
            <v>D</v>
          </cell>
          <cell r="AC38" t="str">
            <v>D</v>
          </cell>
          <cell r="AD38" t="str">
            <v>M</v>
          </cell>
          <cell r="AE38" t="str">
            <v>M</v>
          </cell>
          <cell r="AF38" t="str">
            <v>M</v>
          </cell>
          <cell r="AG38" t="str">
            <v>M</v>
          </cell>
          <cell r="AH38" t="str">
            <v>M</v>
          </cell>
          <cell r="AI38" t="str">
            <v>I</v>
          </cell>
          <cell r="AJ38" t="str">
            <v>I</v>
          </cell>
          <cell r="AK38"/>
          <cell r="AL38"/>
          <cell r="AM38"/>
          <cell r="AN38"/>
          <cell r="AO38"/>
          <cell r="AP38"/>
          <cell r="AQ38"/>
          <cell r="AR38"/>
          <cell r="AS38"/>
          <cell r="AT38"/>
          <cell r="AU38"/>
          <cell r="AV38"/>
          <cell r="AW38"/>
          <cell r="AX38"/>
          <cell r="AY38"/>
          <cell r="AZ38" t="str">
            <v>Tender</v>
          </cell>
          <cell r="BA38">
            <v>45170</v>
          </cell>
          <cell r="BB38">
            <v>45566</v>
          </cell>
          <cell r="BC38" t="str">
            <v>G</v>
          </cell>
          <cell r="BD38" t="str">
            <v xml:space="preserve">Starts on site 18th Noveber 24.
</v>
          </cell>
          <cell r="BE38" t="str">
            <v>G</v>
          </cell>
          <cell r="BF38" t="str">
            <v>G</v>
          </cell>
          <cell r="BG38" t="str">
            <v>G</v>
          </cell>
          <cell r="BH38" t="str">
            <v>G</v>
          </cell>
          <cell r="BI38" t="str">
            <v>N</v>
          </cell>
          <cell r="BJ38" t="str">
            <v>On site.</v>
          </cell>
        </row>
        <row r="39">
          <cell r="A39" t="str">
            <v>IT1249</v>
          </cell>
          <cell r="B39"/>
          <cell r="C39" t="str">
            <v>Live</v>
          </cell>
          <cell r="D39" t="str">
            <v>KDH110</v>
          </cell>
          <cell r="E39" t="str">
            <v>Parking</v>
          </cell>
          <cell r="F39" t="str">
            <v>PK2401</v>
          </cell>
          <cell r="G39" t="str">
            <v>IT1249</v>
          </cell>
          <cell r="H39" t="str">
            <v>Clevedon On-Street Parking - Design for physical works</v>
          </cell>
          <cell r="I39" t="str">
            <v>To provide Engineering Support for the proposed introduction of on-street car parking charges</v>
          </cell>
          <cell r="J39" t="str">
            <v>Parking</v>
          </cell>
          <cell r="K39" t="str">
            <v>Multiple</v>
          </cell>
          <cell r="L39" t="str">
            <v>Clevedon</v>
          </cell>
          <cell r="M39"/>
          <cell r="N39"/>
          <cell r="O39">
            <v>2000</v>
          </cell>
          <cell r="P39"/>
          <cell r="Q39">
            <v>2000</v>
          </cell>
          <cell r="R39" t="str">
            <v>JG</v>
          </cell>
          <cell r="S39" t="str">
            <v>DB</v>
          </cell>
          <cell r="T39" t="str">
            <v>KD</v>
          </cell>
          <cell r="U39" t="str">
            <v>LC</v>
          </cell>
          <cell r="V39"/>
          <cell r="W39"/>
          <cell r="X39"/>
          <cell r="Y39"/>
          <cell r="Z39" t="str">
            <v>ST</v>
          </cell>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t="str">
            <v>Not started</v>
          </cell>
          <cell r="BA39">
            <v>45383</v>
          </cell>
          <cell r="BB39" t="str">
            <v>NA</v>
          </cell>
          <cell r="BC39" t="str">
            <v>G</v>
          </cell>
          <cell r="BD39" t="str">
            <v>To provide Engineering support pending Executive Decision to introduce car parking charges</v>
          </cell>
          <cell r="BE39" t="str">
            <v>G</v>
          </cell>
          <cell r="BF39" t="str">
            <v>G</v>
          </cell>
          <cell r="BG39" t="str">
            <v>G</v>
          </cell>
          <cell r="BH39" t="str">
            <v>G</v>
          </cell>
          <cell r="BI39" t="str">
            <v>N</v>
          </cell>
          <cell r="BJ39" t="str">
            <v>Not started</v>
          </cell>
        </row>
        <row r="40">
          <cell r="A40" t="str">
            <v>IT1250</v>
          </cell>
          <cell r="B40"/>
          <cell r="C40" t="str">
            <v>Live</v>
          </cell>
          <cell r="D40" t="str">
            <v>KDH110</v>
          </cell>
          <cell r="E40" t="str">
            <v>Parking</v>
          </cell>
          <cell r="F40" t="str">
            <v>PK2402</v>
          </cell>
          <cell r="G40" t="str">
            <v>IT1250</v>
          </cell>
          <cell r="H40" t="str">
            <v xml:space="preserve">Nailsea On-Street Parking - Design for physical works </v>
          </cell>
          <cell r="I40" t="str">
            <v>To provide Engineering Support for the proposed introduction of on-street car parking charges</v>
          </cell>
          <cell r="J40" t="str">
            <v>Parking</v>
          </cell>
          <cell r="K40" t="str">
            <v>Nailsea Yeo</v>
          </cell>
          <cell r="L40" t="str">
            <v>Nailsea</v>
          </cell>
          <cell r="M40"/>
          <cell r="N40"/>
          <cell r="O40">
            <v>2000</v>
          </cell>
          <cell r="P40"/>
          <cell r="Q40">
            <v>2000</v>
          </cell>
          <cell r="R40" t="str">
            <v>JG</v>
          </cell>
          <cell r="S40" t="str">
            <v>DB</v>
          </cell>
          <cell r="T40" t="str">
            <v>KD</v>
          </cell>
          <cell r="U40" t="str">
            <v>LC</v>
          </cell>
          <cell r="V40"/>
          <cell r="W40"/>
          <cell r="X40"/>
          <cell r="Y40"/>
          <cell r="Z40" t="str">
            <v>ST</v>
          </cell>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t="str">
            <v>Not started</v>
          </cell>
          <cell r="BA40">
            <v>45383</v>
          </cell>
          <cell r="BB40" t="str">
            <v>NA</v>
          </cell>
          <cell r="BC40" t="str">
            <v>G</v>
          </cell>
          <cell r="BD40" t="str">
            <v>To provide Engineering support pending Executive Decision to introduce car parking charges</v>
          </cell>
          <cell r="BE40" t="str">
            <v>G</v>
          </cell>
          <cell r="BF40" t="str">
            <v>G</v>
          </cell>
          <cell r="BG40" t="str">
            <v>G</v>
          </cell>
          <cell r="BH40" t="str">
            <v>G</v>
          </cell>
          <cell r="BI40" t="str">
            <v>N</v>
          </cell>
          <cell r="BJ40" t="str">
            <v>Not started</v>
          </cell>
        </row>
        <row r="41">
          <cell r="A41" t="str">
            <v>IT1251</v>
          </cell>
          <cell r="B41"/>
          <cell r="C41" t="str">
            <v>Live</v>
          </cell>
          <cell r="D41" t="str">
            <v>KDH110</v>
          </cell>
          <cell r="E41" t="str">
            <v>Parking</v>
          </cell>
          <cell r="F41" t="str">
            <v>PK2403</v>
          </cell>
          <cell r="G41" t="str">
            <v>IT1251</v>
          </cell>
          <cell r="H41" t="str">
            <v>Portishead On-Street Parking - Design for physical works</v>
          </cell>
          <cell r="I41" t="str">
            <v>To provide Engineering Support for the proposed introduction of on-street car parking charges</v>
          </cell>
          <cell r="J41" t="str">
            <v>Parking</v>
          </cell>
          <cell r="K41" t="str">
            <v>Multiple</v>
          </cell>
          <cell r="L41" t="str">
            <v>Portishead</v>
          </cell>
          <cell r="M41"/>
          <cell r="N41"/>
          <cell r="O41">
            <v>2000</v>
          </cell>
          <cell r="P41"/>
          <cell r="Q41">
            <v>2000</v>
          </cell>
          <cell r="R41" t="str">
            <v>JG</v>
          </cell>
          <cell r="S41" t="str">
            <v>DB</v>
          </cell>
          <cell r="T41" t="str">
            <v>KD</v>
          </cell>
          <cell r="U41" t="str">
            <v>LC</v>
          </cell>
          <cell r="V41"/>
          <cell r="W41"/>
          <cell r="X41"/>
          <cell r="Y41"/>
          <cell r="Z41" t="str">
            <v>ST</v>
          </cell>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t="str">
            <v>Not started</v>
          </cell>
          <cell r="BA41">
            <v>45383</v>
          </cell>
          <cell r="BB41" t="str">
            <v>NA</v>
          </cell>
          <cell r="BC41" t="str">
            <v>G</v>
          </cell>
          <cell r="BD41" t="str">
            <v>To provide Engineering support pending Executive Decision to introduce car parking charges</v>
          </cell>
          <cell r="BE41" t="str">
            <v>G</v>
          </cell>
          <cell r="BF41" t="str">
            <v>G</v>
          </cell>
          <cell r="BG41" t="str">
            <v>G</v>
          </cell>
          <cell r="BH41" t="str">
            <v>G</v>
          </cell>
          <cell r="BI41" t="str">
            <v>N</v>
          </cell>
          <cell r="BJ41" t="str">
            <v>Not started</v>
          </cell>
        </row>
        <row r="42">
          <cell r="A42" t="str">
            <v>IT0237</v>
          </cell>
          <cell r="B42" t="str">
            <v>S</v>
          </cell>
          <cell r="C42" t="str">
            <v>Live</v>
          </cell>
          <cell r="D42" t="str">
            <v>KDH110</v>
          </cell>
          <cell r="E42" t="str">
            <v>Emergency Active Travel</v>
          </cell>
          <cell r="F42" t="str">
            <v>PK2404</v>
          </cell>
          <cell r="G42" t="str">
            <v>H&amp;T000315</v>
          </cell>
          <cell r="H42" t="str">
            <v>Weston Central Residents Parking Scheme (RPS) physical works</v>
          </cell>
          <cell r="I42" t="str">
            <v>Introduction of resident parking in Central Weston-super-Mare</v>
          </cell>
          <cell r="J42" t="str">
            <v>Emergency Active Travel</v>
          </cell>
          <cell r="K42" t="str">
            <v>Weston-super-Mare Central</v>
          </cell>
          <cell r="L42" t="str">
            <v>Weston-super-Mare</v>
          </cell>
          <cell r="M42"/>
          <cell r="N42"/>
          <cell r="O42">
            <v>80000</v>
          </cell>
          <cell r="P42">
            <v>0</v>
          </cell>
          <cell r="Q42">
            <v>80000</v>
          </cell>
          <cell r="R42" t="str">
            <v>JG</v>
          </cell>
          <cell r="S42" t="str">
            <v>SA</v>
          </cell>
          <cell r="T42" t="str">
            <v>DB</v>
          </cell>
          <cell r="U42" t="str">
            <v>KD</v>
          </cell>
          <cell r="V42" t="str">
            <v>LC</v>
          </cell>
          <cell r="W42"/>
          <cell r="X42"/>
          <cell r="Y42"/>
          <cell r="Z42" t="str">
            <v>FM/ SB</v>
          </cell>
          <cell r="AA42"/>
          <cell r="AB42" t="str">
            <v>P</v>
          </cell>
          <cell r="AC42" t="str">
            <v>P</v>
          </cell>
          <cell r="AD42" t="str">
            <v>D</v>
          </cell>
          <cell r="AE42" t="str">
            <v>D</v>
          </cell>
          <cell r="AF42" t="str">
            <v>D</v>
          </cell>
          <cell r="AG42" t="str">
            <v>D</v>
          </cell>
          <cell r="AH42" t="str">
            <v>C</v>
          </cell>
          <cell r="AI42" t="str">
            <v>C</v>
          </cell>
          <cell r="AJ42" t="str">
            <v>C</v>
          </cell>
          <cell r="AK42" t="str">
            <v>M</v>
          </cell>
          <cell r="AL42" t="str">
            <v>M</v>
          </cell>
          <cell r="AM42" t="str">
            <v>I</v>
          </cell>
          <cell r="AN42"/>
          <cell r="AO42"/>
          <cell r="AP42"/>
          <cell r="AQ42"/>
          <cell r="AR42"/>
          <cell r="AS42"/>
          <cell r="AT42"/>
          <cell r="AU42"/>
          <cell r="AV42"/>
          <cell r="AW42"/>
          <cell r="AX42"/>
          <cell r="AY42"/>
          <cell r="AZ42" t="str">
            <v>Consultation</v>
          </cell>
          <cell r="BA42">
            <v>45597</v>
          </cell>
          <cell r="BB42">
            <v>45717</v>
          </cell>
          <cell r="BC42" t="str">
            <v>G</v>
          </cell>
          <cell r="BD42" t="str">
            <v>Undertaking informal consultation, ahead of formal consultation.</v>
          </cell>
          <cell r="BE42" t="str">
            <v>G</v>
          </cell>
          <cell r="BF42" t="str">
            <v>G</v>
          </cell>
          <cell r="BG42" t="str">
            <v>G</v>
          </cell>
          <cell r="BH42" t="str">
            <v>G</v>
          </cell>
          <cell r="BI42" t="str">
            <v>N</v>
          </cell>
          <cell r="BJ42" t="str">
            <v>Informal consultation underway, ahead of formal consultation.</v>
          </cell>
        </row>
        <row r="43">
          <cell r="A43" t="str">
            <v>IT0225</v>
          </cell>
          <cell r="B43" t="str">
            <v>D</v>
          </cell>
          <cell r="C43" t="str">
            <v>Live</v>
          </cell>
          <cell r="D43" t="str">
            <v>KDH112</v>
          </cell>
          <cell r="E43" t="str">
            <v>Emergency Active Travel</v>
          </cell>
          <cell r="F43" t="str">
            <v>AT2401</v>
          </cell>
          <cell r="G43" t="str">
            <v>H&amp;T000399</v>
          </cell>
          <cell r="H43" t="str">
            <v>Upgrade of EATF1 works to permanent solutions</v>
          </cell>
          <cell r="I43" t="str">
            <v>Reviewing &amp; upgrade or remove all planters and create permanent TROs.</v>
          </cell>
          <cell r="J43" t="str">
            <v>Emergency Active Travel</v>
          </cell>
          <cell r="K43" t="str">
            <v>District Wide</v>
          </cell>
          <cell r="L43" t="str">
            <v>District Wide</v>
          </cell>
          <cell r="M43"/>
          <cell r="N43"/>
          <cell r="O43">
            <v>50000</v>
          </cell>
          <cell r="P43">
            <v>0</v>
          </cell>
          <cell r="Q43">
            <v>50000</v>
          </cell>
          <cell r="R43" t="str">
            <v>JG</v>
          </cell>
          <cell r="S43" t="str">
            <v>IW</v>
          </cell>
          <cell r="T43"/>
          <cell r="U43"/>
          <cell r="V43"/>
          <cell r="W43"/>
          <cell r="X43"/>
          <cell r="Y43"/>
          <cell r="Z43" t="str">
            <v>EM</v>
          </cell>
          <cell r="AA43"/>
          <cell r="AB43"/>
          <cell r="AC43"/>
          <cell r="AD43" t="str">
            <v>D</v>
          </cell>
          <cell r="AE43" t="str">
            <v>D</v>
          </cell>
          <cell r="AF43" t="str">
            <v>C</v>
          </cell>
          <cell r="AG43" t="str">
            <v>C</v>
          </cell>
          <cell r="AH43" t="str">
            <v>C</v>
          </cell>
          <cell r="AI43" t="str">
            <v>M</v>
          </cell>
          <cell r="AJ43" t="str">
            <v>M</v>
          </cell>
          <cell r="AK43" t="str">
            <v>M</v>
          </cell>
          <cell r="AL43" t="str">
            <v>I</v>
          </cell>
          <cell r="AM43" t="str">
            <v>I</v>
          </cell>
          <cell r="AN43"/>
          <cell r="AO43"/>
          <cell r="AP43"/>
          <cell r="AQ43"/>
          <cell r="AR43"/>
          <cell r="AS43"/>
          <cell r="AT43"/>
          <cell r="AU43"/>
          <cell r="AV43"/>
          <cell r="AW43"/>
          <cell r="AX43"/>
          <cell r="AY43"/>
          <cell r="AZ43" t="str">
            <v>Design</v>
          </cell>
          <cell r="BA43">
            <v>45505</v>
          </cell>
          <cell r="BB43">
            <v>45689</v>
          </cell>
          <cell r="BC43" t="str">
            <v>G</v>
          </cell>
          <cell r="BD43" t="str">
            <v>Assessement of sites complete.  Some planters soon to be removed with future schemes to be consulted on an individual basis</v>
          </cell>
          <cell r="BE43" t="str">
            <v>A</v>
          </cell>
          <cell r="BF43" t="str">
            <v>A</v>
          </cell>
          <cell r="BG43" t="str">
            <v>G</v>
          </cell>
          <cell r="BH43" t="str">
            <v>A</v>
          </cell>
          <cell r="BI43" t="str">
            <v>N</v>
          </cell>
          <cell r="BJ43" t="str">
            <v>Schemes to be consulted on during 2024/25 with 'easy wins' to be implemented. Little progress has been made on this projct.</v>
          </cell>
        </row>
        <row r="44">
          <cell r="A44" t="str">
            <v>IT0432</v>
          </cell>
          <cell r="B44" t="str">
            <v>S</v>
          </cell>
          <cell r="C44" t="str">
            <v>Live</v>
          </cell>
          <cell r="D44" t="str">
            <v>KDH112</v>
          </cell>
          <cell r="E44" t="str">
            <v>Emergency Active Travel</v>
          </cell>
          <cell r="F44" t="str">
            <v>AT2402</v>
          </cell>
          <cell r="G44" t="str">
            <v>H&amp;T000396</v>
          </cell>
          <cell r="H44" t="str">
            <v>Upgrade of EATF1 Wrington Church of England Primary School: Footway Improvements.</v>
          </cell>
          <cell r="I44" t="str">
            <v xml:space="preserve">Scheme to provide improved permanent access near the entrance to the school together with parking restrictions to ensure larger vehicles may navigate School Road. </v>
          </cell>
          <cell r="J44" t="str">
            <v>Safety &amp; Travel Plans</v>
          </cell>
          <cell r="K44" t="str">
            <v>Wrington</v>
          </cell>
          <cell r="L44" t="str">
            <v>Wrington</v>
          </cell>
          <cell r="M44"/>
          <cell r="N44"/>
          <cell r="O44">
            <v>40000</v>
          </cell>
          <cell r="P44">
            <v>0</v>
          </cell>
          <cell r="Q44">
            <v>40000</v>
          </cell>
          <cell r="R44" t="str">
            <v>JG</v>
          </cell>
          <cell r="S44" t="str">
            <v>IW</v>
          </cell>
          <cell r="T44"/>
          <cell r="U44"/>
          <cell r="V44"/>
          <cell r="W44"/>
          <cell r="X44"/>
          <cell r="Y44"/>
          <cell r="Z44" t="str">
            <v>EM</v>
          </cell>
          <cell r="AA44"/>
          <cell r="AB44" t="str">
            <v>D</v>
          </cell>
          <cell r="AC44" t="str">
            <v>D</v>
          </cell>
          <cell r="AD44" t="str">
            <v>C</v>
          </cell>
          <cell r="AE44" t="str">
            <v>C</v>
          </cell>
          <cell r="AF44" t="str">
            <v>D</v>
          </cell>
          <cell r="AG44" t="str">
            <v>D</v>
          </cell>
          <cell r="AH44" t="str">
            <v>M</v>
          </cell>
          <cell r="AI44" t="str">
            <v>M</v>
          </cell>
          <cell r="AJ44" t="str">
            <v>M</v>
          </cell>
          <cell r="AK44" t="str">
            <v>I</v>
          </cell>
          <cell r="AL44" t="str">
            <v>I</v>
          </cell>
          <cell r="AM44"/>
          <cell r="AN44"/>
          <cell r="AO44"/>
          <cell r="AP44"/>
          <cell r="AQ44"/>
          <cell r="AR44"/>
          <cell r="AS44"/>
          <cell r="AT44"/>
          <cell r="AU44"/>
          <cell r="AV44"/>
          <cell r="AW44"/>
          <cell r="AX44"/>
          <cell r="AY44"/>
          <cell r="AZ44" t="str">
            <v>Detailed Design</v>
          </cell>
          <cell r="BA44">
            <v>45444</v>
          </cell>
          <cell r="BB44">
            <v>45658</v>
          </cell>
          <cell r="BC44" t="str">
            <v>G</v>
          </cell>
          <cell r="BD44" t="str">
            <v xml:space="preserve">Consultation and design work progressing.
</v>
          </cell>
          <cell r="BE44" t="str">
            <v>A</v>
          </cell>
          <cell r="BF44" t="str">
            <v>A</v>
          </cell>
          <cell r="BG44" t="str">
            <v>G</v>
          </cell>
          <cell r="BH44" t="str">
            <v>A</v>
          </cell>
          <cell r="BI44" t="str">
            <v>N</v>
          </cell>
          <cell r="BJ44" t="str">
            <v>Draft design completed and shared with PC and Local Member. Consultation to be undertaken by NSC. Development of the design has been very slow, working with the Local Member and PC.</v>
          </cell>
        </row>
        <row r="45">
          <cell r="A45" t="str">
            <v>IT1253</v>
          </cell>
          <cell r="B45"/>
          <cell r="C45" t="str">
            <v>Live</v>
          </cell>
          <cell r="D45" t="str">
            <v>KDH304</v>
          </cell>
          <cell r="E45" t="str">
            <v>Other Schemes</v>
          </cell>
          <cell r="F45"/>
          <cell r="G45" t="str">
            <v>H&amp;T000405</v>
          </cell>
          <cell r="H45" t="str">
            <v>Clevedon Seafront (Phase 2)</v>
          </cell>
          <cell r="I45" t="str">
            <v>Scheme coming forward following the Clevedon Review. Works to include work identified on Hill Road as part of the RSA3</v>
          </cell>
          <cell r="J45" t="str">
            <v>Cross Cutting</v>
          </cell>
          <cell r="K45" t="str">
            <v>Clevedon Walton</v>
          </cell>
          <cell r="L45" t="str">
            <v>Clevedon</v>
          </cell>
          <cell r="M45"/>
          <cell r="N45">
            <v>425000</v>
          </cell>
          <cell r="O45">
            <v>0</v>
          </cell>
          <cell r="P45"/>
          <cell r="Q45">
            <v>425000</v>
          </cell>
          <cell r="R45" t="str">
            <v>JG</v>
          </cell>
          <cell r="S45" t="str">
            <v>DM</v>
          </cell>
          <cell r="T45" t="str">
            <v>DB</v>
          </cell>
          <cell r="U45" t="str">
            <v>KD</v>
          </cell>
          <cell r="V45" t="str">
            <v>LC</v>
          </cell>
          <cell r="W45"/>
          <cell r="X45"/>
          <cell r="Y45"/>
          <cell r="Z45"/>
          <cell r="AA45"/>
          <cell r="AB45"/>
          <cell r="AC45"/>
          <cell r="AD45" t="str">
            <v>D</v>
          </cell>
          <cell r="AE45" t="str">
            <v>D</v>
          </cell>
          <cell r="AF45" t="str">
            <v>C</v>
          </cell>
          <cell r="AG45" t="str">
            <v>C</v>
          </cell>
          <cell r="AH45" t="str">
            <v>D</v>
          </cell>
          <cell r="AI45" t="str">
            <v>D</v>
          </cell>
          <cell r="AJ45" t="str">
            <v>M</v>
          </cell>
          <cell r="AK45" t="str">
            <v>M</v>
          </cell>
          <cell r="AL45" t="str">
            <v>M</v>
          </cell>
          <cell r="AM45" t="str">
            <v>I</v>
          </cell>
          <cell r="AN45"/>
          <cell r="AO45"/>
          <cell r="AP45"/>
          <cell r="AQ45"/>
          <cell r="AR45"/>
          <cell r="AS45"/>
          <cell r="AT45"/>
          <cell r="AU45"/>
          <cell r="AV45"/>
          <cell r="AW45"/>
          <cell r="AX45"/>
          <cell r="AY45"/>
          <cell r="AZ45" t="str">
            <v>Tender</v>
          </cell>
          <cell r="BA45">
            <v>45536</v>
          </cell>
          <cell r="BB45">
            <v>45717</v>
          </cell>
          <cell r="BC45" t="str">
            <v>G</v>
          </cell>
          <cell r="BD45" t="str">
            <v>Out to tender.</v>
          </cell>
          <cell r="BE45" t="str">
            <v>G</v>
          </cell>
          <cell r="BF45" t="str">
            <v>G</v>
          </cell>
          <cell r="BG45" t="str">
            <v>G</v>
          </cell>
          <cell r="BH45" t="str">
            <v>G</v>
          </cell>
          <cell r="BI45" t="str">
            <v>N</v>
          </cell>
          <cell r="BJ45" t="str">
            <v>Out to tender.</v>
          </cell>
        </row>
        <row r="46">
          <cell r="A46" t="str">
            <v>IT1236</v>
          </cell>
          <cell r="B46"/>
          <cell r="C46" t="str">
            <v>Live</v>
          </cell>
          <cell r="D46" t="str">
            <v>KDS135</v>
          </cell>
          <cell r="E46" t="str">
            <v>Active Travel</v>
          </cell>
          <cell r="F46"/>
          <cell r="G46" t="str">
            <v>H&amp;T000404</v>
          </cell>
          <cell r="H46" t="str">
            <v>Brooking Meadow/Ivy Cl, Nailsea - Pedestrian Ramp</v>
          </cell>
          <cell r="I46" t="str">
            <v>Improve accessibility of PROW by replacing steps with a pedestrian ramp.</v>
          </cell>
          <cell r="J46" t="str">
            <v>Active Travel</v>
          </cell>
          <cell r="K46" t="str">
            <v>Nailsea West End</v>
          </cell>
          <cell r="L46" t="str">
            <v>Nailsea</v>
          </cell>
          <cell r="M46"/>
          <cell r="N46">
            <v>30000</v>
          </cell>
          <cell r="O46"/>
          <cell r="P46"/>
          <cell r="Q46">
            <v>30000</v>
          </cell>
          <cell r="R46" t="str">
            <v>JG</v>
          </cell>
          <cell r="S46" t="str">
            <v>SA</v>
          </cell>
          <cell r="T46"/>
          <cell r="U46"/>
          <cell r="V46"/>
          <cell r="W46"/>
          <cell r="X46"/>
          <cell r="Y46"/>
          <cell r="Z46" t="str">
            <v>EB</v>
          </cell>
          <cell r="AA46"/>
          <cell r="AB46"/>
          <cell r="AC46"/>
          <cell r="AD46"/>
          <cell r="AE46"/>
          <cell r="AF46"/>
          <cell r="AG46" t="str">
            <v>D</v>
          </cell>
          <cell r="AH46" t="str">
            <v>C</v>
          </cell>
          <cell r="AI46" t="str">
            <v>C</v>
          </cell>
          <cell r="AJ46" t="str">
            <v>M</v>
          </cell>
          <cell r="AK46" t="str">
            <v>M</v>
          </cell>
          <cell r="AL46" t="str">
            <v>M</v>
          </cell>
          <cell r="AM46" t="str">
            <v>I</v>
          </cell>
          <cell r="AN46"/>
          <cell r="AO46"/>
          <cell r="AP46"/>
          <cell r="AQ46"/>
          <cell r="AR46"/>
          <cell r="AS46"/>
          <cell r="AT46"/>
          <cell r="AU46"/>
          <cell r="AV46"/>
          <cell r="AW46"/>
          <cell r="AX46"/>
          <cell r="AY46"/>
          <cell r="AZ46" t="str">
            <v>Detailed Design</v>
          </cell>
          <cell r="BA46">
            <v>45566</v>
          </cell>
          <cell r="BB46">
            <v>45717</v>
          </cell>
          <cell r="BC46" t="str">
            <v>G</v>
          </cell>
          <cell r="BD46" t="str">
            <v>Brief agreed, design work commenced.</v>
          </cell>
          <cell r="BE46" t="str">
            <v>G</v>
          </cell>
          <cell r="BF46" t="str">
            <v>G</v>
          </cell>
          <cell r="BG46" t="str">
            <v>G</v>
          </cell>
          <cell r="BH46" t="str">
            <v>G</v>
          </cell>
          <cell r="BI46" t="str">
            <v>N</v>
          </cell>
          <cell r="BJ46" t="str">
            <v>Detail Design commenced.</v>
          </cell>
        </row>
        <row r="47">
          <cell r="A47" t="str">
            <v>IT1209</v>
          </cell>
          <cell r="B47"/>
          <cell r="C47" t="str">
            <v>Live</v>
          </cell>
          <cell r="D47" t="str">
            <v>DSC017</v>
          </cell>
          <cell r="E47" t="str">
            <v>Other Schemes</v>
          </cell>
          <cell r="F47"/>
          <cell r="G47" t="str">
            <v>IT1209</v>
          </cell>
          <cell r="H47" t="str">
            <v>S106 - Junction 21 Motors sign</v>
          </cell>
          <cell r="I47" t="str">
            <v>Introduction of a directional sign on A370. Part of a planning obligation.</v>
          </cell>
          <cell r="J47" t="str">
            <v>Other Schemes</v>
          </cell>
          <cell r="K47" t="str">
            <v>Banwell and Winscombe</v>
          </cell>
          <cell r="L47" t="str">
            <v>Banwell</v>
          </cell>
          <cell r="M47">
            <v>4590</v>
          </cell>
          <cell r="N47"/>
          <cell r="O47"/>
          <cell r="P47"/>
          <cell r="Q47">
            <v>4590</v>
          </cell>
          <cell r="R47" t="str">
            <v>JG</v>
          </cell>
          <cell r="S47" t="str">
            <v>RD</v>
          </cell>
          <cell r="T47"/>
          <cell r="U47"/>
          <cell r="V47"/>
          <cell r="W47"/>
          <cell r="X47"/>
          <cell r="Y47"/>
          <cell r="Z47"/>
          <cell r="AA47"/>
          <cell r="AB47"/>
          <cell r="AC47"/>
          <cell r="AD47"/>
          <cell r="AE47"/>
          <cell r="AF47"/>
          <cell r="AG47" t="str">
            <v>D</v>
          </cell>
          <cell r="AH47" t="str">
            <v>D</v>
          </cell>
          <cell r="AI47" t="str">
            <v>M</v>
          </cell>
          <cell r="AJ47" t="str">
            <v>M</v>
          </cell>
          <cell r="AK47" t="str">
            <v>I</v>
          </cell>
          <cell r="AL47"/>
          <cell r="AM47"/>
          <cell r="AN47"/>
          <cell r="AO47"/>
          <cell r="AP47"/>
          <cell r="AQ47"/>
          <cell r="AR47"/>
          <cell r="AS47"/>
          <cell r="AT47"/>
          <cell r="AU47"/>
          <cell r="AV47"/>
          <cell r="AW47"/>
          <cell r="AX47"/>
          <cell r="AY47"/>
          <cell r="AZ47" t="str">
            <v>Detailed Design</v>
          </cell>
          <cell r="BA47" t="str">
            <v>NA</v>
          </cell>
          <cell r="BB47">
            <v>45658</v>
          </cell>
          <cell r="BC47" t="str">
            <v>G</v>
          </cell>
          <cell r="BD47" t="str">
            <v>Work allocated to Engineer to deliver.</v>
          </cell>
          <cell r="BE47" t="str">
            <v>G</v>
          </cell>
          <cell r="BF47" t="str">
            <v>G</v>
          </cell>
          <cell r="BG47" t="str">
            <v>G</v>
          </cell>
          <cell r="BH47" t="str">
            <v>G</v>
          </cell>
          <cell r="BI47" t="str">
            <v>N</v>
          </cell>
          <cell r="BJ47" t="str">
            <v>Drawing complete and sign design approved. To be passed onto NSEC.</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file:///\\NSC-DATASTORE1\CCTV%20surveys%20by%20parish\631%20-%20Walton-in-Gordano\08_10_25_NSEC_Down_Rd_Walton_St_Walton_in_Gordano"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professonline.co.uk/Projects.aspx?template=0" TargetMode="External"/><Relationship Id="rId1" Type="http://schemas.openxmlformats.org/officeDocument/2006/relationships/hyperlink" Target="https://www.professonline.co.uk/Projects.aspx?template=0"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6B6D-3ECC-4E80-93D8-95ECF80D3384}">
  <dimension ref="B1:K49"/>
  <sheetViews>
    <sheetView workbookViewId="0"/>
  </sheetViews>
  <sheetFormatPr defaultRowHeight="15" x14ac:dyDescent="0.25"/>
  <cols>
    <col min="3" max="3" width="19" bestFit="1" customWidth="1"/>
    <col min="4" max="4" width="23.26953125" bestFit="1" customWidth="1"/>
    <col min="5" max="5" width="24.1796875" bestFit="1" customWidth="1"/>
    <col min="6" max="6" width="15.6328125" bestFit="1" customWidth="1"/>
    <col min="7" max="7" width="16.90625" bestFit="1" customWidth="1"/>
    <col min="8" max="8" width="14.1796875" bestFit="1" customWidth="1"/>
    <col min="9" max="9" width="13.08984375" bestFit="1" customWidth="1"/>
    <col min="10" max="10" width="12.36328125" bestFit="1" customWidth="1"/>
  </cols>
  <sheetData>
    <row r="1" spans="2:9" ht="15.6" thickBot="1" x14ac:dyDescent="0.3"/>
    <row r="2" spans="2:9" ht="21.6" thickBot="1" x14ac:dyDescent="0.45">
      <c r="B2" s="124"/>
      <c r="C2" s="125" t="s">
        <v>532</v>
      </c>
      <c r="D2" s="115"/>
      <c r="E2" s="116"/>
    </row>
    <row r="3" spans="2:9" ht="21.6" thickBot="1" x14ac:dyDescent="0.45">
      <c r="C3" s="82"/>
    </row>
    <row r="4" spans="2:9" ht="21" x14ac:dyDescent="0.4">
      <c r="B4" s="91"/>
      <c r="C4" s="112"/>
      <c r="D4" s="94"/>
      <c r="E4" s="94"/>
      <c r="F4" s="94"/>
      <c r="G4" s="94"/>
      <c r="H4" s="94"/>
      <c r="I4" s="95"/>
    </row>
    <row r="5" spans="2:9" ht="21" x14ac:dyDescent="0.4">
      <c r="B5" s="92"/>
      <c r="C5" s="113" t="s">
        <v>542</v>
      </c>
      <c r="D5" s="99"/>
      <c r="E5" s="99"/>
      <c r="F5" s="99"/>
      <c r="G5" s="99"/>
      <c r="H5" s="99"/>
      <c r="I5" s="97"/>
    </row>
    <row r="6" spans="2:9" ht="21" x14ac:dyDescent="0.4">
      <c r="B6" s="92"/>
      <c r="C6" s="113"/>
      <c r="D6" s="99"/>
      <c r="E6" s="99"/>
      <c r="F6" s="99"/>
      <c r="G6" s="99"/>
      <c r="H6" s="99"/>
      <c r="I6" s="97"/>
    </row>
    <row r="7" spans="2:9" ht="31.2" x14ac:dyDescent="0.25">
      <c r="B7" s="92"/>
      <c r="C7" s="101" t="s">
        <v>533</v>
      </c>
      <c r="D7" s="101" t="s">
        <v>534</v>
      </c>
      <c r="E7" s="101" t="s">
        <v>535</v>
      </c>
      <c r="F7" s="101" t="s">
        <v>536</v>
      </c>
      <c r="G7" s="101" t="s">
        <v>537</v>
      </c>
      <c r="H7" s="102" t="s">
        <v>4</v>
      </c>
      <c r="I7" s="97"/>
    </row>
    <row r="8" spans="2:9" ht="15.6" x14ac:dyDescent="0.25">
      <c r="B8" s="92"/>
      <c r="C8" s="101" t="s">
        <v>296</v>
      </c>
      <c r="D8" s="103">
        <v>5427000</v>
      </c>
      <c r="E8" s="104">
        <v>1974000</v>
      </c>
      <c r="F8" s="105">
        <v>1091000</v>
      </c>
      <c r="G8" s="106">
        <v>271641</v>
      </c>
      <c r="H8" s="107">
        <f>SUM(D8:G8)</f>
        <v>8763641</v>
      </c>
      <c r="I8" s="97"/>
    </row>
    <row r="9" spans="2:9" ht="15.6" x14ac:dyDescent="0.25">
      <c r="B9" s="92"/>
      <c r="C9" s="102" t="s">
        <v>538</v>
      </c>
      <c r="D9" s="104">
        <v>6051000</v>
      </c>
      <c r="E9" s="104">
        <v>2578000</v>
      </c>
      <c r="F9" s="105">
        <v>2405000</v>
      </c>
      <c r="G9" s="106">
        <v>271641</v>
      </c>
      <c r="H9" s="107">
        <f t="shared" ref="H9:H11" si="0">SUM(D9:G9)</f>
        <v>11305641</v>
      </c>
      <c r="I9" s="97"/>
    </row>
    <row r="10" spans="2:9" ht="15.6" x14ac:dyDescent="0.25">
      <c r="B10" s="92"/>
      <c r="C10" s="102" t="s">
        <v>539</v>
      </c>
      <c r="D10" s="104">
        <v>6727000</v>
      </c>
      <c r="E10" s="104">
        <v>2592000</v>
      </c>
      <c r="F10" s="105">
        <v>3295000</v>
      </c>
      <c r="G10" s="106">
        <v>271641</v>
      </c>
      <c r="H10" s="107">
        <f t="shared" si="0"/>
        <v>12885641</v>
      </c>
      <c r="I10" s="97"/>
    </row>
    <row r="11" spans="2:9" ht="15.6" x14ac:dyDescent="0.25">
      <c r="B11" s="92"/>
      <c r="C11" s="102" t="s">
        <v>540</v>
      </c>
      <c r="D11" s="104">
        <v>8017000</v>
      </c>
      <c r="E11" s="104">
        <v>2636000</v>
      </c>
      <c r="F11" s="105">
        <v>4186000</v>
      </c>
      <c r="G11" s="106">
        <v>271641</v>
      </c>
      <c r="H11" s="107">
        <f t="shared" si="0"/>
        <v>15110641</v>
      </c>
      <c r="I11" s="97"/>
    </row>
    <row r="12" spans="2:9" ht="15.6" x14ac:dyDescent="0.25">
      <c r="B12" s="92"/>
      <c r="C12" s="102" t="s">
        <v>541</v>
      </c>
      <c r="D12" s="108">
        <v>26222000</v>
      </c>
      <c r="E12" s="108">
        <v>9780000</v>
      </c>
      <c r="F12" s="109">
        <v>10977000</v>
      </c>
      <c r="G12" s="110">
        <v>1086564</v>
      </c>
      <c r="H12" s="107">
        <f>SUM(H8:H11)</f>
        <v>48065564</v>
      </c>
      <c r="I12" s="97"/>
    </row>
    <row r="13" spans="2:9" ht="15.6" x14ac:dyDescent="0.3">
      <c r="B13" s="92"/>
      <c r="C13" s="126"/>
      <c r="D13" s="114"/>
      <c r="E13" s="114"/>
      <c r="F13" s="114"/>
      <c r="G13" s="114"/>
      <c r="H13" s="114"/>
      <c r="I13" s="97"/>
    </row>
    <row r="14" spans="2:9" x14ac:dyDescent="0.25">
      <c r="B14" s="92"/>
      <c r="C14" s="99"/>
      <c r="D14" s="99"/>
      <c r="E14" s="99"/>
      <c r="F14" s="99"/>
      <c r="G14" s="99"/>
      <c r="H14" s="99"/>
      <c r="I14" s="97"/>
    </row>
    <row r="15" spans="2:9" ht="15.6" thickBot="1" x14ac:dyDescent="0.3">
      <c r="B15" s="93"/>
      <c r="C15" s="100"/>
      <c r="D15" s="100"/>
      <c r="E15" s="100"/>
      <c r="F15" s="100"/>
      <c r="G15" s="100"/>
      <c r="H15" s="100"/>
      <c r="I15" s="98"/>
    </row>
    <row r="16" spans="2:9" ht="21.6" thickBot="1" x14ac:dyDescent="0.45">
      <c r="C16" s="82"/>
    </row>
    <row r="17" spans="2:9" x14ac:dyDescent="0.25">
      <c r="B17" s="91"/>
      <c r="C17" s="94"/>
      <c r="D17" s="94"/>
      <c r="E17" s="94"/>
      <c r="F17" s="94"/>
      <c r="G17" s="94"/>
      <c r="H17" s="94"/>
      <c r="I17" s="95"/>
    </row>
    <row r="18" spans="2:9" ht="17.399999999999999" x14ac:dyDescent="0.3">
      <c r="B18" s="92"/>
      <c r="C18" s="111" t="s">
        <v>0</v>
      </c>
      <c r="D18" s="96"/>
      <c r="E18" s="96"/>
      <c r="F18" s="96"/>
      <c r="G18" s="96"/>
      <c r="H18" s="96"/>
      <c r="I18" s="97"/>
    </row>
    <row r="19" spans="2:9" ht="15.6" x14ac:dyDescent="0.3">
      <c r="B19" s="92"/>
      <c r="C19" s="96"/>
      <c r="D19" s="96"/>
      <c r="E19" s="96"/>
      <c r="F19" s="96"/>
      <c r="G19" s="96"/>
      <c r="H19" s="96"/>
      <c r="I19" s="97"/>
    </row>
    <row r="20" spans="2:9" ht="15.6" x14ac:dyDescent="0.3">
      <c r="B20" s="92"/>
      <c r="C20" s="96"/>
      <c r="D20" s="86" t="s">
        <v>1</v>
      </c>
      <c r="E20" s="86"/>
      <c r="F20" s="86" t="s">
        <v>2</v>
      </c>
      <c r="G20" s="87" t="s">
        <v>3</v>
      </c>
      <c r="H20" s="86" t="s">
        <v>4</v>
      </c>
      <c r="I20" s="97"/>
    </row>
    <row r="21" spans="2:9" ht="15.6" x14ac:dyDescent="0.3">
      <c r="B21" s="92"/>
      <c r="C21" s="99"/>
      <c r="D21" s="127" t="s">
        <v>5</v>
      </c>
      <c r="E21" s="85"/>
      <c r="F21" s="88">
        <v>637661.89</v>
      </c>
      <c r="G21" s="89">
        <v>3122857.94</v>
      </c>
      <c r="H21" s="88">
        <f>SUM(F21:G21)</f>
        <v>3760519.83</v>
      </c>
      <c r="I21" s="97"/>
    </row>
    <row r="22" spans="2:9" ht="15.6" x14ac:dyDescent="0.3">
      <c r="B22" s="92"/>
      <c r="C22" s="99"/>
      <c r="D22" s="127" t="s">
        <v>6</v>
      </c>
      <c r="E22" s="85"/>
      <c r="F22" s="12"/>
      <c r="G22" s="89">
        <v>950947.94</v>
      </c>
      <c r="H22" s="88">
        <f t="shared" ref="H22:H31" si="1">SUM(F22:G22)</f>
        <v>950947.94</v>
      </c>
      <c r="I22" s="97"/>
    </row>
    <row r="23" spans="2:9" ht="15.6" x14ac:dyDescent="0.3">
      <c r="B23" s="92"/>
      <c r="C23" s="99"/>
      <c r="D23" s="127" t="s">
        <v>544</v>
      </c>
      <c r="E23" s="85"/>
      <c r="F23" s="12"/>
      <c r="G23" s="89">
        <v>991682.64</v>
      </c>
      <c r="H23" s="88">
        <f t="shared" si="1"/>
        <v>991682.64</v>
      </c>
      <c r="I23" s="97"/>
    </row>
    <row r="24" spans="2:9" ht="15.6" x14ac:dyDescent="0.3">
      <c r="B24" s="92"/>
      <c r="C24" s="99"/>
      <c r="D24" s="127" t="s">
        <v>7</v>
      </c>
      <c r="E24" s="85" t="s">
        <v>8</v>
      </c>
      <c r="F24" s="12"/>
      <c r="G24" s="89">
        <v>114400</v>
      </c>
      <c r="H24" s="88">
        <f t="shared" si="1"/>
        <v>114400</v>
      </c>
      <c r="I24" s="97"/>
    </row>
    <row r="25" spans="2:9" ht="15.6" x14ac:dyDescent="0.3">
      <c r="B25" s="92"/>
      <c r="C25" s="99"/>
      <c r="D25" s="85"/>
      <c r="E25" s="85" t="s">
        <v>531</v>
      </c>
      <c r="F25" s="12"/>
      <c r="G25" s="89">
        <v>587440</v>
      </c>
      <c r="H25" s="88">
        <f t="shared" si="1"/>
        <v>587440</v>
      </c>
      <c r="I25" s="97"/>
    </row>
    <row r="26" spans="2:9" ht="15.6" x14ac:dyDescent="0.3">
      <c r="B26" s="92"/>
      <c r="C26" s="99"/>
      <c r="D26" s="127" t="s">
        <v>9</v>
      </c>
      <c r="E26" s="85"/>
      <c r="F26" s="12"/>
      <c r="G26" s="89">
        <v>830725</v>
      </c>
      <c r="H26" s="88">
        <f t="shared" si="1"/>
        <v>830725</v>
      </c>
      <c r="I26" s="97"/>
    </row>
    <row r="27" spans="2:9" ht="15.6" x14ac:dyDescent="0.3">
      <c r="B27" s="92"/>
      <c r="C27" s="99"/>
      <c r="D27" s="127" t="s">
        <v>10</v>
      </c>
      <c r="E27" s="85"/>
      <c r="F27" s="88">
        <v>178882</v>
      </c>
      <c r="G27" s="89">
        <v>120635</v>
      </c>
      <c r="H27" s="88">
        <f t="shared" si="1"/>
        <v>299517</v>
      </c>
      <c r="I27" s="97"/>
    </row>
    <row r="28" spans="2:9" ht="15.6" x14ac:dyDescent="0.3">
      <c r="B28" s="92"/>
      <c r="C28" s="99"/>
      <c r="D28" s="85" t="s">
        <v>529</v>
      </c>
      <c r="E28" s="85"/>
      <c r="F28" s="88"/>
      <c r="G28" s="89">
        <v>89801.49</v>
      </c>
      <c r="H28" s="88">
        <f t="shared" si="1"/>
        <v>89801.49</v>
      </c>
      <c r="I28" s="97"/>
    </row>
    <row r="29" spans="2:9" ht="15.6" x14ac:dyDescent="0.3">
      <c r="B29" s="92"/>
      <c r="C29" s="99"/>
      <c r="D29" s="85" t="s">
        <v>530</v>
      </c>
      <c r="E29" s="85"/>
      <c r="F29" s="88"/>
      <c r="G29" s="89">
        <v>392000</v>
      </c>
      <c r="H29" s="88">
        <f t="shared" si="1"/>
        <v>392000</v>
      </c>
      <c r="I29" s="97"/>
    </row>
    <row r="30" spans="2:9" ht="15.6" x14ac:dyDescent="0.3">
      <c r="B30" s="92"/>
      <c r="C30" s="99"/>
      <c r="D30" s="85" t="s">
        <v>8</v>
      </c>
      <c r="E30" s="85"/>
      <c r="F30" s="88"/>
      <c r="G30" s="89">
        <v>70909.990000000005</v>
      </c>
      <c r="H30" s="88">
        <f t="shared" si="1"/>
        <v>70909.990000000005</v>
      </c>
      <c r="I30" s="97"/>
    </row>
    <row r="31" spans="2:9" ht="15.6" x14ac:dyDescent="0.3">
      <c r="B31" s="92"/>
      <c r="C31" s="99"/>
      <c r="D31" s="85" t="s">
        <v>554</v>
      </c>
      <c r="E31" s="12"/>
      <c r="F31" s="12"/>
      <c r="G31" s="89">
        <v>129600</v>
      </c>
      <c r="H31" s="88">
        <f t="shared" si="1"/>
        <v>129600</v>
      </c>
      <c r="I31" s="97"/>
    </row>
    <row r="32" spans="2:9" ht="15.6" x14ac:dyDescent="0.3">
      <c r="B32" s="92"/>
      <c r="C32" s="99"/>
      <c r="D32" s="96"/>
      <c r="E32" s="99"/>
      <c r="F32" s="90">
        <f>SUM(F21:F31)</f>
        <v>816543.89</v>
      </c>
      <c r="G32" s="117">
        <f>SUM(G21:G31)</f>
        <v>7401000</v>
      </c>
      <c r="H32" s="90">
        <f>SUM(H21:H31)</f>
        <v>8217543.8899999997</v>
      </c>
      <c r="I32" s="97"/>
    </row>
    <row r="33" spans="2:11" ht="15.6" thickBot="1" x14ac:dyDescent="0.3">
      <c r="B33" s="93"/>
      <c r="C33" s="100"/>
      <c r="D33" s="100"/>
      <c r="E33" s="100"/>
      <c r="F33" s="100"/>
      <c r="G33" s="100"/>
      <c r="H33" s="100"/>
      <c r="I33" s="98"/>
    </row>
    <row r="34" spans="2:11" ht="15.6" thickBot="1" x14ac:dyDescent="0.3"/>
    <row r="35" spans="2:11" x14ac:dyDescent="0.25">
      <c r="B35" s="91"/>
      <c r="C35" s="94"/>
      <c r="D35" s="94"/>
      <c r="E35" s="94"/>
      <c r="F35" s="94"/>
      <c r="G35" s="94"/>
      <c r="H35" s="94"/>
      <c r="I35" s="94"/>
      <c r="J35" s="94"/>
      <c r="K35" s="95"/>
    </row>
    <row r="36" spans="2:11" ht="17.399999999999999" x14ac:dyDescent="0.3">
      <c r="B36" s="92"/>
      <c r="C36" s="111" t="s">
        <v>543</v>
      </c>
      <c r="D36" s="96"/>
      <c r="E36" s="99"/>
      <c r="F36" s="99"/>
      <c r="G36" s="99"/>
      <c r="H36" s="99"/>
      <c r="I36" s="99"/>
      <c r="J36" s="99"/>
      <c r="K36" s="97"/>
    </row>
    <row r="37" spans="2:11" ht="17.399999999999999" x14ac:dyDescent="0.3">
      <c r="B37" s="92"/>
      <c r="C37" s="111"/>
      <c r="D37" s="96"/>
      <c r="E37" s="99"/>
      <c r="F37" s="99"/>
      <c r="G37" s="99"/>
      <c r="H37" s="99"/>
      <c r="I37" s="99"/>
      <c r="J37" s="99"/>
      <c r="K37" s="97"/>
    </row>
    <row r="38" spans="2:11" ht="15.6" x14ac:dyDescent="0.3">
      <c r="B38" s="92"/>
      <c r="C38" s="96"/>
      <c r="D38" s="85"/>
      <c r="E38" s="85" t="s">
        <v>11</v>
      </c>
      <c r="F38" s="85" t="s">
        <v>12</v>
      </c>
      <c r="G38" s="118" t="s">
        <v>13</v>
      </c>
      <c r="H38" s="85" t="s">
        <v>2</v>
      </c>
      <c r="I38" s="119" t="s">
        <v>3</v>
      </c>
      <c r="J38" s="85" t="s">
        <v>4</v>
      </c>
      <c r="K38" s="97"/>
    </row>
    <row r="39" spans="2:11" ht="15.6" x14ac:dyDescent="0.3">
      <c r="B39" s="92"/>
      <c r="C39" s="96"/>
      <c r="D39" s="127" t="s">
        <v>14</v>
      </c>
      <c r="E39" s="88">
        <v>63250</v>
      </c>
      <c r="F39" s="88">
        <v>80000</v>
      </c>
      <c r="G39" s="120">
        <v>80000</v>
      </c>
      <c r="H39" s="88">
        <v>29866.01</v>
      </c>
      <c r="I39" s="121">
        <v>109096</v>
      </c>
      <c r="J39" s="88">
        <f>SUM(E39:I39)</f>
        <v>362212.01</v>
      </c>
      <c r="K39" s="97"/>
    </row>
    <row r="40" spans="2:11" ht="15.6" x14ac:dyDescent="0.3">
      <c r="B40" s="92"/>
      <c r="C40" s="96"/>
      <c r="D40" s="127" t="s">
        <v>15</v>
      </c>
      <c r="E40" s="88"/>
      <c r="F40" s="88"/>
      <c r="G40" s="120">
        <v>191641</v>
      </c>
      <c r="H40" s="88">
        <v>1035162</v>
      </c>
      <c r="I40" s="121">
        <v>981904</v>
      </c>
      <c r="J40" s="88">
        <f>SUM(E40:I40)</f>
        <v>2208707</v>
      </c>
      <c r="K40" s="97"/>
    </row>
    <row r="41" spans="2:11" ht="15.6" x14ac:dyDescent="0.3">
      <c r="B41" s="92"/>
      <c r="C41" s="99"/>
      <c r="D41" s="12"/>
      <c r="E41" s="90">
        <f t="shared" ref="E41" si="2">SUM(E39:E40)</f>
        <v>63250</v>
      </c>
      <c r="F41" s="90">
        <f t="shared" ref="F41" si="3">SUM(F39:F40)</f>
        <v>80000</v>
      </c>
      <c r="G41" s="122">
        <f t="shared" ref="G41:I41" si="4">SUM(G39:G40)</f>
        <v>271641</v>
      </c>
      <c r="H41" s="90">
        <f t="shared" si="4"/>
        <v>1065028.01</v>
      </c>
      <c r="I41" s="123">
        <f t="shared" si="4"/>
        <v>1091000</v>
      </c>
      <c r="J41" s="90">
        <f>SUM(J39:J40)</f>
        <v>2570919.0099999998</v>
      </c>
      <c r="K41" s="97"/>
    </row>
    <row r="42" spans="2:11" ht="15.6" thickBot="1" x14ac:dyDescent="0.3">
      <c r="B42" s="93"/>
      <c r="C42" s="100"/>
      <c r="D42" s="100"/>
      <c r="E42" s="100"/>
      <c r="F42" s="100"/>
      <c r="G42" s="100"/>
      <c r="H42" s="100"/>
      <c r="I42" s="100"/>
      <c r="J42" s="100"/>
      <c r="K42" s="98"/>
    </row>
    <row r="43" spans="2:11" x14ac:dyDescent="0.25">
      <c r="E43" s="83"/>
    </row>
    <row r="44" spans="2:11" x14ac:dyDescent="0.25">
      <c r="E44" s="83"/>
    </row>
    <row r="45" spans="2:11" x14ac:dyDescent="0.25">
      <c r="E45" s="83"/>
    </row>
    <row r="46" spans="2:11" x14ac:dyDescent="0.25">
      <c r="E46" s="83"/>
    </row>
    <row r="47" spans="2:11" x14ac:dyDescent="0.25">
      <c r="E47" s="83"/>
    </row>
    <row r="48" spans="2:11" x14ac:dyDescent="0.25">
      <c r="E48" s="83"/>
    </row>
    <row r="49" spans="5:6" x14ac:dyDescent="0.25">
      <c r="E49" s="84"/>
      <c r="F49" s="84"/>
    </row>
  </sheetData>
  <hyperlinks>
    <hyperlink ref="D21" location="'Resurfacing Schemes'!A1" display="Resurfacing" xr:uid="{2C846905-6748-4D03-8342-64A56CEE27C7}"/>
    <hyperlink ref="D22" location="'Surface Dressing Schemes'!A1" display="Surface Dressing" xr:uid="{34A63352-6590-4AD8-87F0-0EDA5140C453}"/>
    <hyperlink ref="D23" location="'Patching Schemes'!A1" display="Carriageway Patching" xr:uid="{088DF5D8-37FE-4071-B2E4-289B5B9E0C61}"/>
    <hyperlink ref="D24" location="Drainage!A1" display="Drainage" xr:uid="{7B60359E-55A1-402D-B65A-56D7A7791610}"/>
    <hyperlink ref="D26" location="Structures!A1" display="Structures" xr:uid="{6A2150BC-0089-438E-A03F-A46AD948542F}"/>
    <hyperlink ref="D27" location="'Street Lighting'!A1" display="Street Lighting" xr:uid="{F0261F88-3929-432D-8CD3-C2742BE1B508}"/>
    <hyperlink ref="D39" location="'ITB Stage 5'!A1" display="Stage 5" xr:uid="{4CBD280D-9F6A-4FD7-AD24-15AFB8FF7C48}"/>
    <hyperlink ref="D40" location="'ITB Stage 6'!A1" display="Stage 6" xr:uid="{29C506F0-E6C8-43C4-8D3C-C69E0728F8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8368-FC72-4CE7-A8DB-4B05A30864EC}">
  <dimension ref="A1:AB37"/>
  <sheetViews>
    <sheetView zoomScaleNormal="100" workbookViewId="0">
      <selection sqref="A1:C1"/>
    </sheetView>
  </sheetViews>
  <sheetFormatPr defaultColWidth="8.90625" defaultRowHeight="15" x14ac:dyDescent="0.25"/>
  <cols>
    <col min="1" max="1" width="11.453125" style="4" customWidth="1"/>
    <col min="2" max="2" width="13.08984375" style="4" hidden="1" customWidth="1"/>
    <col min="3" max="3" width="8.90625" style="4"/>
    <col min="4" max="4" width="26.81640625" style="4" customWidth="1"/>
    <col min="5" max="5" width="17.453125" style="4" hidden="1" customWidth="1"/>
    <col min="6" max="6" width="11.54296875" style="4" hidden="1" customWidth="1"/>
    <col min="7" max="7" width="10.453125" style="4" hidden="1" customWidth="1"/>
    <col min="8" max="8" width="8.90625" style="4" hidden="1" customWidth="1"/>
    <col min="9" max="9" width="41.453125" style="4" customWidth="1"/>
    <col min="10" max="10" width="15.1796875" style="4" customWidth="1"/>
    <col min="11" max="11" width="10.453125" style="4" customWidth="1"/>
    <col min="12" max="12" width="7.54296875" style="4" customWidth="1"/>
    <col min="13" max="13" width="10.36328125" style="4" customWidth="1"/>
    <col min="14" max="14" width="13.54296875" style="4" bestFit="1" customWidth="1"/>
    <col min="15" max="15" width="15.36328125" style="4" customWidth="1"/>
    <col min="16" max="16" width="15.90625" style="4" bestFit="1" customWidth="1"/>
    <col min="17" max="17" width="15.36328125" style="4" customWidth="1"/>
    <col min="18" max="18" width="16.36328125" style="4" bestFit="1" customWidth="1"/>
    <col min="19" max="19" width="12.90625" style="4" bestFit="1" customWidth="1"/>
    <col min="20" max="20" width="18.54296875" style="4" customWidth="1"/>
    <col min="21" max="21" width="12.90625" style="4" bestFit="1" customWidth="1"/>
    <col min="22" max="22" width="12.36328125" style="4" bestFit="1" customWidth="1"/>
    <col min="23" max="27" width="8.90625" style="4"/>
    <col min="28" max="28" width="10.81640625" style="4" bestFit="1" customWidth="1"/>
    <col min="29" max="16384" width="8.90625" style="4"/>
  </cols>
  <sheetData>
    <row r="1" spans="1:28" ht="15.6" x14ac:dyDescent="0.3">
      <c r="A1" s="130" t="s">
        <v>555</v>
      </c>
      <c r="B1" s="130"/>
      <c r="C1" s="130"/>
    </row>
    <row r="2" spans="1:28" ht="26.4" x14ac:dyDescent="0.25">
      <c r="A2" s="1" t="s">
        <v>16</v>
      </c>
      <c r="B2" s="1" t="s">
        <v>17</v>
      </c>
      <c r="C2" s="1" t="s">
        <v>18</v>
      </c>
      <c r="D2" s="1" t="s">
        <v>19</v>
      </c>
      <c r="E2" s="1" t="s">
        <v>20</v>
      </c>
      <c r="F2" s="1" t="s">
        <v>21</v>
      </c>
      <c r="G2" s="1" t="s">
        <v>22</v>
      </c>
      <c r="H2" s="1" t="s">
        <v>23</v>
      </c>
      <c r="I2" s="1" t="s">
        <v>24</v>
      </c>
      <c r="J2" s="1" t="s">
        <v>25</v>
      </c>
      <c r="K2" s="1" t="s">
        <v>26</v>
      </c>
      <c r="L2" s="1" t="s">
        <v>27</v>
      </c>
      <c r="M2" s="1" t="s">
        <v>28</v>
      </c>
      <c r="N2" s="1" t="s">
        <v>29</v>
      </c>
      <c r="O2" s="1" t="s">
        <v>30</v>
      </c>
      <c r="P2" s="1" t="s">
        <v>31</v>
      </c>
      <c r="Q2" s="1" t="s">
        <v>32</v>
      </c>
      <c r="R2" s="1" t="s">
        <v>33</v>
      </c>
      <c r="S2" s="1" t="s">
        <v>553</v>
      </c>
    </row>
    <row r="3" spans="1:28" x14ac:dyDescent="0.25">
      <c r="A3" s="5">
        <v>32232</v>
      </c>
      <c r="B3" s="5" t="s">
        <v>34</v>
      </c>
      <c r="C3" s="5" t="s">
        <v>35</v>
      </c>
      <c r="D3" s="5" t="s">
        <v>36</v>
      </c>
      <c r="E3" s="5" t="s">
        <v>37</v>
      </c>
      <c r="F3" s="16">
        <v>185.62</v>
      </c>
      <c r="G3" s="5">
        <v>65.59</v>
      </c>
      <c r="H3" s="5">
        <v>720.1</v>
      </c>
      <c r="I3" s="6" t="s">
        <v>545</v>
      </c>
      <c r="J3" s="6" t="s">
        <v>5</v>
      </c>
      <c r="K3" s="14">
        <v>1193</v>
      </c>
      <c r="L3" s="7">
        <v>1</v>
      </c>
      <c r="M3" s="7" t="s">
        <v>38</v>
      </c>
      <c r="N3" s="7" t="s">
        <v>39</v>
      </c>
      <c r="O3" s="10">
        <f>50*K3</f>
        <v>59650</v>
      </c>
      <c r="P3" s="10">
        <f t="shared" ref="P3:P15" si="0">O3*0.04</f>
        <v>2386</v>
      </c>
      <c r="Q3" s="10">
        <f>(O3+P3)*0.049</f>
        <v>3039.7640000000001</v>
      </c>
      <c r="R3" s="10">
        <f t="shared" ref="R3:R15" si="1">O3+P3+Q3</f>
        <v>65075.764000000003</v>
      </c>
      <c r="S3" s="6" t="s">
        <v>40</v>
      </c>
      <c r="U3" s="68"/>
      <c r="V3" s="68"/>
    </row>
    <row r="4" spans="1:28" ht="26.4" x14ac:dyDescent="0.25">
      <c r="A4" s="5">
        <v>34553</v>
      </c>
      <c r="B4" s="5" t="s">
        <v>34</v>
      </c>
      <c r="C4" s="5" t="s">
        <v>41</v>
      </c>
      <c r="D4" s="5" t="s">
        <v>42</v>
      </c>
      <c r="E4" s="5" t="s">
        <v>43</v>
      </c>
      <c r="F4" s="16">
        <v>185.22</v>
      </c>
      <c r="G4" s="5">
        <v>76.67</v>
      </c>
      <c r="H4" s="5">
        <v>695.88</v>
      </c>
      <c r="I4" s="6" t="s">
        <v>546</v>
      </c>
      <c r="J4" s="6" t="s">
        <v>44</v>
      </c>
      <c r="K4" s="14">
        <v>1166</v>
      </c>
      <c r="L4" s="7">
        <v>1</v>
      </c>
      <c r="M4" s="7" t="s">
        <v>45</v>
      </c>
      <c r="N4" s="7" t="s">
        <v>39</v>
      </c>
      <c r="O4" s="10">
        <f>65*K4</f>
        <v>75790</v>
      </c>
      <c r="P4" s="10">
        <f t="shared" si="0"/>
        <v>3031.6</v>
      </c>
      <c r="Q4" s="10">
        <f t="shared" ref="Q4:Q15" si="2">(O4+P4)*0.049</f>
        <v>3862.2584000000006</v>
      </c>
      <c r="R4" s="10">
        <f t="shared" si="1"/>
        <v>82683.858400000012</v>
      </c>
      <c r="S4" s="6" t="s">
        <v>40</v>
      </c>
      <c r="U4" s="68"/>
      <c r="V4" s="68"/>
    </row>
    <row r="5" spans="1:28" ht="26.4" x14ac:dyDescent="0.25">
      <c r="A5" s="5">
        <v>34372</v>
      </c>
      <c r="B5" s="5" t="s">
        <v>34</v>
      </c>
      <c r="C5" s="5" t="s">
        <v>46</v>
      </c>
      <c r="D5" s="5" t="s">
        <v>47</v>
      </c>
      <c r="E5" s="5" t="s">
        <v>43</v>
      </c>
      <c r="F5" s="16">
        <v>129.47999999999999</v>
      </c>
      <c r="G5" s="5">
        <v>74.489999999999995</v>
      </c>
      <c r="H5" s="5">
        <v>688.1</v>
      </c>
      <c r="I5" s="6" t="s">
        <v>48</v>
      </c>
      <c r="J5" s="6" t="s">
        <v>5</v>
      </c>
      <c r="K5" s="14">
        <v>1252</v>
      </c>
      <c r="L5" s="7">
        <v>1</v>
      </c>
      <c r="M5" s="7" t="s">
        <v>49</v>
      </c>
      <c r="N5" s="7" t="s">
        <v>39</v>
      </c>
      <c r="O5" s="10">
        <f>85*K5</f>
        <v>106420</v>
      </c>
      <c r="P5" s="10">
        <f t="shared" si="0"/>
        <v>4256.8</v>
      </c>
      <c r="Q5" s="10">
        <f t="shared" si="2"/>
        <v>5423.1632</v>
      </c>
      <c r="R5" s="10">
        <f t="shared" si="1"/>
        <v>116099.9632</v>
      </c>
      <c r="S5" s="6" t="s">
        <v>40</v>
      </c>
      <c r="U5" s="68"/>
      <c r="V5" s="68"/>
    </row>
    <row r="6" spans="1:28" ht="26.4" x14ac:dyDescent="0.25">
      <c r="A6" s="5">
        <v>34554</v>
      </c>
      <c r="B6" s="5" t="s">
        <v>34</v>
      </c>
      <c r="C6" s="5" t="s">
        <v>41</v>
      </c>
      <c r="D6" s="5" t="s">
        <v>50</v>
      </c>
      <c r="E6" s="5" t="s">
        <v>43</v>
      </c>
      <c r="F6" s="16">
        <v>259.47000000000003</v>
      </c>
      <c r="G6" s="5">
        <v>76.91</v>
      </c>
      <c r="H6" s="5">
        <v>620.41999999999996</v>
      </c>
      <c r="I6" s="6" t="s">
        <v>51</v>
      </c>
      <c r="J6" s="6" t="s">
        <v>44</v>
      </c>
      <c r="K6" s="14">
        <v>1877</v>
      </c>
      <c r="L6" s="7">
        <v>1</v>
      </c>
      <c r="M6" s="7" t="s">
        <v>45</v>
      </c>
      <c r="N6" s="7" t="s">
        <v>39</v>
      </c>
      <c r="O6" s="10">
        <f>65*K6</f>
        <v>122005</v>
      </c>
      <c r="P6" s="10">
        <f t="shared" si="0"/>
        <v>4880.2</v>
      </c>
      <c r="Q6" s="10">
        <f t="shared" si="2"/>
        <v>6217.3748000000005</v>
      </c>
      <c r="R6" s="10">
        <f t="shared" si="1"/>
        <v>133102.5748</v>
      </c>
      <c r="S6" s="6" t="s">
        <v>40</v>
      </c>
      <c r="U6" s="68"/>
      <c r="V6" s="68"/>
    </row>
    <row r="7" spans="1:28" ht="52.8" x14ac:dyDescent="0.25">
      <c r="A7" s="5">
        <v>34631</v>
      </c>
      <c r="B7" s="5" t="s">
        <v>34</v>
      </c>
      <c r="C7" s="5" t="s">
        <v>52</v>
      </c>
      <c r="D7" s="5" t="s">
        <v>53</v>
      </c>
      <c r="E7" s="5" t="s">
        <v>54</v>
      </c>
      <c r="F7" s="16">
        <v>100.6</v>
      </c>
      <c r="G7" s="5">
        <v>73.61</v>
      </c>
      <c r="H7" s="5">
        <v>618.89</v>
      </c>
      <c r="I7" s="6" t="s">
        <v>55</v>
      </c>
      <c r="J7" s="6" t="s">
        <v>56</v>
      </c>
      <c r="K7" s="14">
        <v>907</v>
      </c>
      <c r="L7" s="7">
        <v>1</v>
      </c>
      <c r="M7" s="7" t="s">
        <v>45</v>
      </c>
      <c r="N7" s="7" t="s">
        <v>39</v>
      </c>
      <c r="O7" s="10">
        <f>120*K7</f>
        <v>108840</v>
      </c>
      <c r="P7" s="10">
        <f t="shared" si="0"/>
        <v>4353.6000000000004</v>
      </c>
      <c r="Q7" s="10">
        <f t="shared" si="2"/>
        <v>5546.4864000000007</v>
      </c>
      <c r="R7" s="10">
        <f t="shared" si="1"/>
        <v>118740.0864</v>
      </c>
      <c r="S7" s="6" t="s">
        <v>40</v>
      </c>
      <c r="U7" s="68"/>
      <c r="V7" s="68"/>
    </row>
    <row r="8" spans="1:28" ht="26.4" x14ac:dyDescent="0.25">
      <c r="A8" s="5">
        <v>34555</v>
      </c>
      <c r="B8" s="5" t="s">
        <v>34</v>
      </c>
      <c r="C8" s="5" t="s">
        <v>41</v>
      </c>
      <c r="D8" s="5" t="s">
        <v>57</v>
      </c>
      <c r="E8" s="5" t="s">
        <v>43</v>
      </c>
      <c r="F8" s="16">
        <v>197.36</v>
      </c>
      <c r="G8" s="5">
        <v>78.31</v>
      </c>
      <c r="H8" s="5">
        <v>610</v>
      </c>
      <c r="I8" s="6" t="s">
        <v>58</v>
      </c>
      <c r="J8" s="6" t="s">
        <v>44</v>
      </c>
      <c r="K8" s="14">
        <v>905</v>
      </c>
      <c r="L8" s="7">
        <v>1</v>
      </c>
      <c r="M8" s="7" t="s">
        <v>45</v>
      </c>
      <c r="N8" s="7" t="s">
        <v>39</v>
      </c>
      <c r="O8" s="10">
        <f>65*K8</f>
        <v>58825</v>
      </c>
      <c r="P8" s="10">
        <f t="shared" si="0"/>
        <v>2353</v>
      </c>
      <c r="Q8" s="10">
        <f t="shared" si="2"/>
        <v>2997.7220000000002</v>
      </c>
      <c r="R8" s="10">
        <f t="shared" si="1"/>
        <v>64175.722000000002</v>
      </c>
      <c r="S8" s="6" t="s">
        <v>40</v>
      </c>
      <c r="U8" s="68"/>
      <c r="V8" s="68"/>
    </row>
    <row r="9" spans="1:28" ht="39.6" x14ac:dyDescent="0.25">
      <c r="A9" s="5">
        <v>34646</v>
      </c>
      <c r="B9" s="5" t="s">
        <v>34</v>
      </c>
      <c r="C9" s="5" t="s">
        <v>59</v>
      </c>
      <c r="D9" s="5" t="s">
        <v>60</v>
      </c>
      <c r="E9" s="5" t="s">
        <v>61</v>
      </c>
      <c r="F9" s="16">
        <v>472.04</v>
      </c>
      <c r="G9" s="5">
        <v>59.54</v>
      </c>
      <c r="H9" s="5">
        <v>604.44000000000005</v>
      </c>
      <c r="I9" s="6" t="s">
        <v>556</v>
      </c>
      <c r="J9" s="6" t="s">
        <v>5</v>
      </c>
      <c r="K9" s="14">
        <f>2798+400</f>
        <v>3198</v>
      </c>
      <c r="L9" s="7">
        <v>1</v>
      </c>
      <c r="M9" s="7" t="s">
        <v>49</v>
      </c>
      <c r="N9" s="7" t="s">
        <v>39</v>
      </c>
      <c r="O9" s="10">
        <f>85*K9</f>
        <v>271830</v>
      </c>
      <c r="P9" s="10">
        <f t="shared" si="0"/>
        <v>10873.2</v>
      </c>
      <c r="Q9" s="10">
        <f t="shared" si="2"/>
        <v>13852.456800000002</v>
      </c>
      <c r="R9" s="10">
        <f t="shared" si="1"/>
        <v>296555.6568</v>
      </c>
      <c r="S9" s="6" t="s">
        <v>62</v>
      </c>
      <c r="U9" s="68"/>
      <c r="V9" s="68"/>
    </row>
    <row r="10" spans="1:28" x14ac:dyDescent="0.25">
      <c r="A10" s="5">
        <v>32298</v>
      </c>
      <c r="B10" s="5" t="s">
        <v>34</v>
      </c>
      <c r="C10" s="5" t="s">
        <v>63</v>
      </c>
      <c r="D10" s="5" t="s">
        <v>64</v>
      </c>
      <c r="E10" s="5" t="s">
        <v>37</v>
      </c>
      <c r="F10" s="16">
        <v>162.33000000000001</v>
      </c>
      <c r="G10" s="5">
        <v>73.41</v>
      </c>
      <c r="H10" s="5">
        <v>586.38</v>
      </c>
      <c r="I10" s="6" t="s">
        <v>547</v>
      </c>
      <c r="J10" s="6" t="s">
        <v>5</v>
      </c>
      <c r="K10" s="14">
        <v>797</v>
      </c>
      <c r="L10" s="7">
        <v>1</v>
      </c>
      <c r="M10" s="7" t="s">
        <v>45</v>
      </c>
      <c r="N10" s="7" t="s">
        <v>39</v>
      </c>
      <c r="O10" s="10">
        <f>50*K10</f>
        <v>39850</v>
      </c>
      <c r="P10" s="10">
        <f t="shared" si="0"/>
        <v>1594</v>
      </c>
      <c r="Q10" s="10">
        <f t="shared" si="2"/>
        <v>2030.7560000000001</v>
      </c>
      <c r="R10" s="10">
        <f t="shared" si="1"/>
        <v>43474.756000000001</v>
      </c>
      <c r="S10" s="6" t="s">
        <v>40</v>
      </c>
      <c r="U10" s="68"/>
      <c r="V10" s="68"/>
    </row>
    <row r="11" spans="1:28" ht="18" customHeight="1" x14ac:dyDescent="0.25">
      <c r="A11" s="5">
        <v>34671</v>
      </c>
      <c r="B11" s="5" t="s">
        <v>34</v>
      </c>
      <c r="C11" s="5" t="s">
        <v>41</v>
      </c>
      <c r="D11" s="5" t="s">
        <v>65</v>
      </c>
      <c r="E11" s="5" t="s">
        <v>43</v>
      </c>
      <c r="F11" s="16">
        <v>284.33</v>
      </c>
      <c r="G11" s="5">
        <v>75.66</v>
      </c>
      <c r="H11" s="5">
        <v>352.83</v>
      </c>
      <c r="I11" s="129" t="s">
        <v>548</v>
      </c>
      <c r="J11" s="6" t="s">
        <v>44</v>
      </c>
      <c r="K11" s="14">
        <v>2138</v>
      </c>
      <c r="L11" s="7">
        <v>1</v>
      </c>
      <c r="M11" s="7" t="s">
        <v>45</v>
      </c>
      <c r="N11" s="7" t="s">
        <v>39</v>
      </c>
      <c r="O11" s="10">
        <f>65*K11</f>
        <v>138970</v>
      </c>
      <c r="P11" s="10">
        <f t="shared" si="0"/>
        <v>5558.8</v>
      </c>
      <c r="Q11" s="10">
        <f t="shared" si="2"/>
        <v>7081.9111999999996</v>
      </c>
      <c r="R11" s="10">
        <f t="shared" si="1"/>
        <v>151610.71119999999</v>
      </c>
      <c r="S11" s="6" t="s">
        <v>40</v>
      </c>
      <c r="U11" s="68"/>
      <c r="V11" s="68"/>
    </row>
    <row r="12" spans="1:28" ht="26.4" x14ac:dyDescent="0.25">
      <c r="A12" s="5">
        <v>28289</v>
      </c>
      <c r="B12" s="5" t="s">
        <v>66</v>
      </c>
      <c r="C12" s="5" t="s">
        <v>67</v>
      </c>
      <c r="D12" s="5" t="s">
        <v>68</v>
      </c>
      <c r="E12" s="5" t="s">
        <v>69</v>
      </c>
      <c r="F12" s="16">
        <v>445.31</v>
      </c>
      <c r="G12" s="5">
        <v>81.510000000000005</v>
      </c>
      <c r="H12" s="5">
        <v>304.01</v>
      </c>
      <c r="I12" s="129" t="s">
        <v>549</v>
      </c>
      <c r="J12" s="6" t="s">
        <v>5</v>
      </c>
      <c r="K12" s="14">
        <v>7096</v>
      </c>
      <c r="L12" s="7">
        <v>1</v>
      </c>
      <c r="M12" s="7" t="s">
        <v>49</v>
      </c>
      <c r="N12" s="7" t="s">
        <v>39</v>
      </c>
      <c r="O12" s="10">
        <f>50*K12</f>
        <v>354800</v>
      </c>
      <c r="P12" s="10">
        <f t="shared" si="0"/>
        <v>14192</v>
      </c>
      <c r="Q12" s="10">
        <f t="shared" si="2"/>
        <v>18080.608</v>
      </c>
      <c r="R12" s="10">
        <f t="shared" si="1"/>
        <v>387072.60800000001</v>
      </c>
      <c r="S12" s="6" t="s">
        <v>40</v>
      </c>
      <c r="U12" s="68"/>
      <c r="V12" s="68"/>
    </row>
    <row r="13" spans="1:28" ht="66" x14ac:dyDescent="0.25">
      <c r="A13" s="5">
        <v>34594</v>
      </c>
      <c r="B13" s="5" t="s">
        <v>34</v>
      </c>
      <c r="C13" s="5" t="s">
        <v>70</v>
      </c>
      <c r="D13" s="5" t="s">
        <v>71</v>
      </c>
      <c r="E13" s="5" t="s">
        <v>43</v>
      </c>
      <c r="F13" s="16">
        <v>392.72</v>
      </c>
      <c r="G13" s="5">
        <v>36.31</v>
      </c>
      <c r="H13" s="5">
        <v>238.93</v>
      </c>
      <c r="I13" s="6" t="s">
        <v>557</v>
      </c>
      <c r="J13" s="6" t="s">
        <v>72</v>
      </c>
      <c r="K13" s="14">
        <v>2300</v>
      </c>
      <c r="L13" s="7">
        <v>1</v>
      </c>
      <c r="M13" s="7" t="s">
        <v>45</v>
      </c>
      <c r="N13" s="7" t="s">
        <v>39</v>
      </c>
      <c r="O13" s="10">
        <f>K13*140</f>
        <v>322000</v>
      </c>
      <c r="P13" s="10">
        <f t="shared" si="0"/>
        <v>12880</v>
      </c>
      <c r="Q13" s="10">
        <f t="shared" si="2"/>
        <v>16409.12</v>
      </c>
      <c r="R13" s="10">
        <f t="shared" si="1"/>
        <v>351289.12</v>
      </c>
      <c r="S13" s="6" t="s">
        <v>62</v>
      </c>
      <c r="U13" s="68"/>
      <c r="V13" s="68"/>
      <c r="AB13" s="68"/>
    </row>
    <row r="14" spans="1:28" ht="52.8" x14ac:dyDescent="0.25">
      <c r="A14" s="5">
        <v>34677</v>
      </c>
      <c r="B14" s="5" t="s">
        <v>73</v>
      </c>
      <c r="C14" s="5" t="s">
        <v>74</v>
      </c>
      <c r="D14" s="5" t="s">
        <v>75</v>
      </c>
      <c r="E14" s="5" t="s">
        <v>37</v>
      </c>
      <c r="F14" s="16">
        <v>350.79</v>
      </c>
      <c r="G14" s="5">
        <v>73.17</v>
      </c>
      <c r="H14" s="5">
        <v>109.69</v>
      </c>
      <c r="I14" s="6" t="s">
        <v>550</v>
      </c>
      <c r="J14" s="6" t="s">
        <v>5</v>
      </c>
      <c r="K14" s="14">
        <v>620</v>
      </c>
      <c r="L14" s="7">
        <v>1</v>
      </c>
      <c r="M14" s="7" t="s">
        <v>49</v>
      </c>
      <c r="N14" s="7" t="s">
        <v>39</v>
      </c>
      <c r="O14" s="10">
        <f>45*K14</f>
        <v>27900</v>
      </c>
      <c r="P14" s="10">
        <f t="shared" si="0"/>
        <v>1116</v>
      </c>
      <c r="Q14" s="10">
        <f t="shared" si="2"/>
        <v>1421.7840000000001</v>
      </c>
      <c r="R14" s="10">
        <f t="shared" si="1"/>
        <v>30437.784</v>
      </c>
      <c r="S14" s="6" t="s">
        <v>62</v>
      </c>
      <c r="U14" s="68"/>
      <c r="V14" s="68"/>
    </row>
    <row r="15" spans="1:28" x14ac:dyDescent="0.25">
      <c r="A15" s="5" t="s">
        <v>76</v>
      </c>
      <c r="B15" s="5" t="s">
        <v>76</v>
      </c>
      <c r="C15" s="5" t="s">
        <v>76</v>
      </c>
      <c r="D15" s="5" t="s">
        <v>77</v>
      </c>
      <c r="E15" s="5" t="s">
        <v>43</v>
      </c>
      <c r="F15" s="16"/>
      <c r="G15" s="5"/>
      <c r="H15" s="5"/>
      <c r="I15" s="6" t="s">
        <v>551</v>
      </c>
      <c r="J15" s="6" t="s">
        <v>5</v>
      </c>
      <c r="K15" s="5" t="s">
        <v>76</v>
      </c>
      <c r="L15" s="7">
        <v>1</v>
      </c>
      <c r="M15" s="7" t="s">
        <v>45</v>
      </c>
      <c r="N15" s="7" t="s">
        <v>39</v>
      </c>
      <c r="O15" s="10">
        <v>100000</v>
      </c>
      <c r="P15" s="10">
        <f t="shared" si="0"/>
        <v>4000</v>
      </c>
      <c r="Q15" s="10">
        <f t="shared" si="2"/>
        <v>5096</v>
      </c>
      <c r="R15" s="10">
        <f t="shared" si="1"/>
        <v>109096</v>
      </c>
      <c r="S15" s="5" t="s">
        <v>76</v>
      </c>
      <c r="U15" s="68"/>
      <c r="V15" s="68"/>
    </row>
    <row r="16" spans="1:28" x14ac:dyDescent="0.25">
      <c r="F16" s="17"/>
      <c r="K16" s="15"/>
      <c r="O16" s="10">
        <f>SUM(O3:O5)+SUM(O6:O10)+SUM(O11:O13)+SUM(O14:O15)</f>
        <v>1786880</v>
      </c>
      <c r="P16" s="10">
        <f>SUM(P3:P5)+SUM(P6:P10)+SUM(P11:P13)+SUM(P14:P15)</f>
        <v>71475.199999999997</v>
      </c>
      <c r="Q16" s="10">
        <f>SUM(Q3:Q5)+SUM(Q6:Q10)+SUM(Q11:Q13)+SUM(Q14:Q15)</f>
        <v>91059.404800000004</v>
      </c>
      <c r="R16" s="10">
        <f>SUM(R3:R5)+SUM(R6:R10)+SUM(R11:R13)+SUM(R14:R15)</f>
        <v>1949414.6048000001</v>
      </c>
    </row>
    <row r="17" spans="1:21" x14ac:dyDescent="0.25">
      <c r="F17" s="17"/>
      <c r="K17" s="15"/>
      <c r="O17" s="9"/>
      <c r="P17" s="9"/>
      <c r="Q17" s="9"/>
      <c r="R17" s="9"/>
    </row>
    <row r="18" spans="1:21" ht="26.4" x14ac:dyDescent="0.25">
      <c r="A18" s="1" t="s">
        <v>16</v>
      </c>
      <c r="C18" s="1" t="s">
        <v>18</v>
      </c>
      <c r="D18" s="1" t="s">
        <v>19</v>
      </c>
      <c r="E18" s="1" t="s">
        <v>20</v>
      </c>
      <c r="F18" s="1" t="s">
        <v>21</v>
      </c>
      <c r="G18" s="1" t="s">
        <v>22</v>
      </c>
      <c r="H18" s="1" t="s">
        <v>23</v>
      </c>
      <c r="I18" s="1" t="s">
        <v>24</v>
      </c>
      <c r="J18" s="1" t="s">
        <v>25</v>
      </c>
      <c r="K18" s="1" t="s">
        <v>26</v>
      </c>
      <c r="L18" s="1" t="s">
        <v>27</v>
      </c>
      <c r="M18" s="1" t="s">
        <v>28</v>
      </c>
      <c r="N18" s="1" t="s">
        <v>29</v>
      </c>
      <c r="O18" s="1" t="s">
        <v>2</v>
      </c>
      <c r="P18" s="1" t="s">
        <v>78</v>
      </c>
      <c r="Q18" s="1" t="s">
        <v>79</v>
      </c>
      <c r="R18" s="1" t="s">
        <v>32</v>
      </c>
      <c r="S18" s="1" t="s">
        <v>4</v>
      </c>
    </row>
    <row r="19" spans="1:21" ht="26.4" x14ac:dyDescent="0.25">
      <c r="A19" s="5">
        <v>32200</v>
      </c>
      <c r="B19" s="5" t="s">
        <v>66</v>
      </c>
      <c r="C19" s="5" t="s">
        <v>67</v>
      </c>
      <c r="D19" s="5" t="s">
        <v>80</v>
      </c>
      <c r="E19" s="5" t="s">
        <v>61</v>
      </c>
      <c r="F19" s="16">
        <v>920</v>
      </c>
      <c r="G19" s="5"/>
      <c r="H19" s="5"/>
      <c r="I19" s="6" t="s">
        <v>552</v>
      </c>
      <c r="J19" s="6" t="s">
        <v>5</v>
      </c>
      <c r="K19" s="14">
        <v>6840</v>
      </c>
      <c r="L19" s="7">
        <v>1</v>
      </c>
      <c r="M19" s="7" t="s">
        <v>49</v>
      </c>
      <c r="N19" s="7" t="s">
        <v>39</v>
      </c>
      <c r="O19" s="10">
        <v>104000</v>
      </c>
      <c r="P19" s="10">
        <f t="shared" ref="P19:P25" si="3">Q19-O19</f>
        <v>231803.56</v>
      </c>
      <c r="Q19" s="10">
        <v>335803.56</v>
      </c>
      <c r="R19" s="10">
        <f>P19*0.049</f>
        <v>11358.37444</v>
      </c>
      <c r="S19" s="10">
        <f>P19+R19</f>
        <v>243161.93443999998</v>
      </c>
    </row>
    <row r="20" spans="1:21" ht="26.4" x14ac:dyDescent="0.25">
      <c r="A20" s="5">
        <v>34508</v>
      </c>
      <c r="B20" s="5" t="s">
        <v>34</v>
      </c>
      <c r="C20" s="5" t="s">
        <v>81</v>
      </c>
      <c r="D20" s="5" t="s">
        <v>82</v>
      </c>
      <c r="E20" s="5" t="s">
        <v>83</v>
      </c>
      <c r="F20" s="16">
        <v>185</v>
      </c>
      <c r="G20" s="5"/>
      <c r="H20" s="5"/>
      <c r="I20" s="6" t="s">
        <v>552</v>
      </c>
      <c r="J20" s="6" t="s">
        <v>5</v>
      </c>
      <c r="K20" s="14">
        <v>1184</v>
      </c>
      <c r="L20" s="7">
        <v>1</v>
      </c>
      <c r="M20" s="7" t="s">
        <v>49</v>
      </c>
      <c r="N20" s="7" t="s">
        <v>39</v>
      </c>
      <c r="O20" s="10">
        <v>58653</v>
      </c>
      <c r="P20" s="10">
        <f t="shared" si="3"/>
        <v>79000</v>
      </c>
      <c r="Q20" s="10">
        <v>137653</v>
      </c>
      <c r="R20" s="10">
        <f t="shared" ref="R20:R25" si="4">P20*0.049</f>
        <v>3871</v>
      </c>
      <c r="S20" s="10">
        <f t="shared" ref="S20:S26" si="5">P20+R20</f>
        <v>82871</v>
      </c>
      <c r="U20" s="68"/>
    </row>
    <row r="21" spans="1:21" ht="26.4" x14ac:dyDescent="0.25">
      <c r="A21" s="5">
        <v>34591</v>
      </c>
      <c r="B21" s="5" t="s">
        <v>34</v>
      </c>
      <c r="C21" s="5" t="s">
        <v>84</v>
      </c>
      <c r="D21" s="5" t="s">
        <v>85</v>
      </c>
      <c r="E21" s="5" t="s">
        <v>43</v>
      </c>
      <c r="F21" s="16">
        <v>550</v>
      </c>
      <c r="G21" s="5"/>
      <c r="H21" s="5"/>
      <c r="I21" s="6" t="s">
        <v>552</v>
      </c>
      <c r="J21" s="6" t="s">
        <v>86</v>
      </c>
      <c r="K21" s="14">
        <v>4970</v>
      </c>
      <c r="L21" s="7">
        <v>1</v>
      </c>
      <c r="M21" s="7" t="s">
        <v>49</v>
      </c>
      <c r="N21" s="7" t="s">
        <v>39</v>
      </c>
      <c r="O21" s="10">
        <v>220283</v>
      </c>
      <c r="P21" s="10">
        <f t="shared" si="3"/>
        <v>29717</v>
      </c>
      <c r="Q21" s="10">
        <v>250000</v>
      </c>
      <c r="R21" s="10">
        <f t="shared" si="4"/>
        <v>1456.133</v>
      </c>
      <c r="S21" s="10">
        <f t="shared" si="5"/>
        <v>31173.133000000002</v>
      </c>
      <c r="T21" s="68"/>
    </row>
    <row r="22" spans="1:21" ht="26.4" x14ac:dyDescent="0.25">
      <c r="A22" s="5">
        <v>32240</v>
      </c>
      <c r="B22" s="5" t="s">
        <v>34</v>
      </c>
      <c r="C22" s="5" t="s">
        <v>87</v>
      </c>
      <c r="D22" s="5" t="s">
        <v>88</v>
      </c>
      <c r="E22" s="5" t="s">
        <v>89</v>
      </c>
      <c r="F22" s="16">
        <v>130</v>
      </c>
      <c r="G22" s="5"/>
      <c r="H22" s="5"/>
      <c r="I22" s="6" t="s">
        <v>552</v>
      </c>
      <c r="J22" s="6" t="s">
        <v>86</v>
      </c>
      <c r="K22" s="14">
        <v>687</v>
      </c>
      <c r="L22" s="7">
        <v>1</v>
      </c>
      <c r="M22" s="7" t="s">
        <v>49</v>
      </c>
      <c r="N22" s="7" t="s">
        <v>39</v>
      </c>
      <c r="O22" s="10">
        <v>71502</v>
      </c>
      <c r="P22" s="10">
        <f t="shared" si="3"/>
        <v>48000</v>
      </c>
      <c r="Q22" s="10">
        <v>119502</v>
      </c>
      <c r="R22" s="10">
        <f t="shared" si="4"/>
        <v>2352</v>
      </c>
      <c r="S22" s="10">
        <f t="shared" si="5"/>
        <v>50352</v>
      </c>
    </row>
    <row r="23" spans="1:21" ht="26.4" x14ac:dyDescent="0.25">
      <c r="A23" s="5">
        <v>34652</v>
      </c>
      <c r="B23" s="5" t="s">
        <v>90</v>
      </c>
      <c r="C23" s="5" t="s">
        <v>91</v>
      </c>
      <c r="D23" s="5" t="s">
        <v>92</v>
      </c>
      <c r="E23" s="5" t="s">
        <v>54</v>
      </c>
      <c r="F23" s="16">
        <v>1280</v>
      </c>
      <c r="G23" s="5"/>
      <c r="H23" s="5"/>
      <c r="I23" s="6" t="s">
        <v>552</v>
      </c>
      <c r="J23" s="6" t="s">
        <v>5</v>
      </c>
      <c r="K23" s="14">
        <v>14467</v>
      </c>
      <c r="L23" s="7">
        <v>1</v>
      </c>
      <c r="M23" s="7" t="s">
        <v>49</v>
      </c>
      <c r="N23" s="7" t="s">
        <v>39</v>
      </c>
      <c r="O23" s="10"/>
      <c r="P23" s="10">
        <f t="shared" si="3"/>
        <v>360098</v>
      </c>
      <c r="Q23" s="10">
        <v>360098</v>
      </c>
      <c r="R23" s="10">
        <f t="shared" si="4"/>
        <v>17644.802</v>
      </c>
      <c r="S23" s="10">
        <f t="shared" si="5"/>
        <v>377742.80200000003</v>
      </c>
    </row>
    <row r="24" spans="1:21" ht="26.4" x14ac:dyDescent="0.25">
      <c r="A24" s="5">
        <v>28267</v>
      </c>
      <c r="B24" s="5"/>
      <c r="C24" s="5" t="s">
        <v>67</v>
      </c>
      <c r="D24" s="5" t="s">
        <v>93</v>
      </c>
      <c r="E24" s="5"/>
      <c r="F24" s="16"/>
      <c r="G24" s="5"/>
      <c r="H24" s="5"/>
      <c r="I24" s="6" t="s">
        <v>552</v>
      </c>
      <c r="J24" s="6" t="s">
        <v>5</v>
      </c>
      <c r="K24" s="14">
        <v>5640</v>
      </c>
      <c r="L24" s="7">
        <v>1</v>
      </c>
      <c r="M24" s="7" t="s">
        <v>49</v>
      </c>
      <c r="N24" s="7" t="s">
        <v>39</v>
      </c>
      <c r="O24" s="10">
        <v>36642</v>
      </c>
      <c r="P24" s="10">
        <f t="shared" si="3"/>
        <v>88593</v>
      </c>
      <c r="Q24" s="10">
        <v>125235</v>
      </c>
      <c r="R24" s="10">
        <f t="shared" si="4"/>
        <v>4341.0569999999998</v>
      </c>
      <c r="S24" s="10">
        <f t="shared" si="5"/>
        <v>92934.057000000001</v>
      </c>
    </row>
    <row r="25" spans="1:21" ht="26.4" x14ac:dyDescent="0.25">
      <c r="A25" s="5">
        <v>32272</v>
      </c>
      <c r="B25" s="5"/>
      <c r="C25" s="5" t="s">
        <v>94</v>
      </c>
      <c r="D25" s="5" t="s">
        <v>95</v>
      </c>
      <c r="E25" s="5"/>
      <c r="F25" s="16"/>
      <c r="G25" s="5"/>
      <c r="H25" s="5"/>
      <c r="I25" s="6" t="s">
        <v>552</v>
      </c>
      <c r="J25" s="6" t="s">
        <v>5</v>
      </c>
      <c r="K25" s="14">
        <v>4236</v>
      </c>
      <c r="L25" s="7">
        <v>1</v>
      </c>
      <c r="M25" s="7" t="s">
        <v>49</v>
      </c>
      <c r="N25" s="7" t="s">
        <v>39</v>
      </c>
      <c r="O25" s="10">
        <v>146581.89000000001</v>
      </c>
      <c r="P25" s="10">
        <f t="shared" si="3"/>
        <v>281418.88</v>
      </c>
      <c r="Q25" s="10">
        <v>428000.77</v>
      </c>
      <c r="R25" s="10">
        <f t="shared" si="4"/>
        <v>13789.52512</v>
      </c>
      <c r="S25" s="10">
        <f t="shared" si="5"/>
        <v>295208.40512000001</v>
      </c>
    </row>
    <row r="26" spans="1:21" x14ac:dyDescent="0.25">
      <c r="A26" s="13"/>
      <c r="B26" s="13"/>
      <c r="C26" s="13"/>
      <c r="D26" s="13"/>
      <c r="E26" s="13"/>
      <c r="F26" s="18"/>
      <c r="G26" s="13"/>
      <c r="H26" s="13"/>
      <c r="I26" s="19"/>
      <c r="J26" s="19"/>
      <c r="K26" s="20"/>
      <c r="L26" s="21"/>
      <c r="M26" s="21"/>
      <c r="N26" s="21"/>
      <c r="O26" s="10">
        <f>SUM(O19:O25)</f>
        <v>637661.89</v>
      </c>
      <c r="P26" s="10">
        <f>SUM(P19:P25)</f>
        <v>1118630.44</v>
      </c>
      <c r="Q26" s="10">
        <f>SUM(Q19:Q25)</f>
        <v>1756292.33</v>
      </c>
      <c r="R26" s="10">
        <f>SUM(R19:R25)</f>
        <v>54812.891559999996</v>
      </c>
      <c r="S26" s="10">
        <f t="shared" si="5"/>
        <v>1173443.3315599998</v>
      </c>
    </row>
    <row r="27" spans="1:21" ht="15.6" x14ac:dyDescent="0.3">
      <c r="A27" s="128" t="s">
        <v>96</v>
      </c>
      <c r="B27" s="128"/>
      <c r="C27" s="128"/>
      <c r="F27" s="17"/>
      <c r="K27" s="15"/>
      <c r="O27" s="9"/>
      <c r="P27" s="9"/>
      <c r="Q27" s="9"/>
      <c r="R27" s="9"/>
    </row>
    <row r="28" spans="1:21" ht="26.4" x14ac:dyDescent="0.25">
      <c r="A28" s="1" t="s">
        <v>16</v>
      </c>
      <c r="C28" s="1" t="s">
        <v>18</v>
      </c>
      <c r="D28" s="1" t="s">
        <v>19</v>
      </c>
      <c r="E28" s="1" t="s">
        <v>20</v>
      </c>
      <c r="F28" s="1" t="s">
        <v>21</v>
      </c>
      <c r="G28" s="1" t="s">
        <v>22</v>
      </c>
      <c r="H28" s="1" t="s">
        <v>23</v>
      </c>
      <c r="I28" s="1" t="s">
        <v>24</v>
      </c>
      <c r="J28" s="1" t="s">
        <v>25</v>
      </c>
      <c r="K28" s="1" t="s">
        <v>26</v>
      </c>
      <c r="L28" s="1" t="s">
        <v>27</v>
      </c>
      <c r="M28" s="1" t="s">
        <v>28</v>
      </c>
      <c r="N28" s="1" t="s">
        <v>29</v>
      </c>
      <c r="O28" s="1" t="s">
        <v>30</v>
      </c>
      <c r="P28" s="9"/>
      <c r="Q28" s="9"/>
      <c r="R28" s="9"/>
    </row>
    <row r="29" spans="1:21" ht="26.4" x14ac:dyDescent="0.25">
      <c r="A29" s="5">
        <v>32274</v>
      </c>
      <c r="B29" s="5" t="s">
        <v>34</v>
      </c>
      <c r="C29" s="5" t="s">
        <v>97</v>
      </c>
      <c r="D29" s="5" t="s">
        <v>98</v>
      </c>
      <c r="E29" s="5" t="s">
        <v>99</v>
      </c>
      <c r="F29" s="16">
        <v>906.42</v>
      </c>
      <c r="G29" s="5">
        <v>59.52</v>
      </c>
      <c r="H29" s="5">
        <v>389.74</v>
      </c>
      <c r="I29" s="6" t="s">
        <v>100</v>
      </c>
      <c r="J29" s="6" t="s">
        <v>5</v>
      </c>
      <c r="K29" s="14">
        <v>5146</v>
      </c>
      <c r="L29" s="7">
        <v>1</v>
      </c>
      <c r="M29" s="7" t="s">
        <v>101</v>
      </c>
      <c r="N29" s="7" t="s">
        <v>39</v>
      </c>
      <c r="O29" s="11">
        <f>85*K29</f>
        <v>437410</v>
      </c>
      <c r="P29" s="22"/>
      <c r="Q29" s="22"/>
    </row>
    <row r="30" spans="1:21" x14ac:dyDescent="0.25">
      <c r="A30" s="5">
        <v>32292</v>
      </c>
      <c r="B30" s="5" t="s">
        <v>34</v>
      </c>
      <c r="C30" s="5" t="s">
        <v>102</v>
      </c>
      <c r="D30" s="5" t="s">
        <v>103</v>
      </c>
      <c r="E30" s="5" t="s">
        <v>104</v>
      </c>
      <c r="F30" s="16">
        <v>185.67</v>
      </c>
      <c r="G30" s="5">
        <v>80.48</v>
      </c>
      <c r="H30" s="5">
        <v>682.65</v>
      </c>
      <c r="I30" s="6" t="s">
        <v>105</v>
      </c>
      <c r="J30" s="6" t="s">
        <v>5</v>
      </c>
      <c r="K30" s="14">
        <v>1264</v>
      </c>
      <c r="L30" s="7">
        <v>1</v>
      </c>
      <c r="M30" s="7" t="s">
        <v>49</v>
      </c>
      <c r="N30" s="7" t="s">
        <v>39</v>
      </c>
      <c r="O30" s="11">
        <f>45*K30</f>
        <v>56880</v>
      </c>
      <c r="P30" s="22"/>
      <c r="Q30" s="22"/>
    </row>
    <row r="31" spans="1:21" ht="26.4" x14ac:dyDescent="0.25">
      <c r="A31" s="5">
        <v>34557</v>
      </c>
      <c r="B31" s="5" t="s">
        <v>34</v>
      </c>
      <c r="C31" s="5" t="s">
        <v>106</v>
      </c>
      <c r="D31" s="5" t="s">
        <v>107</v>
      </c>
      <c r="E31" s="5" t="s">
        <v>54</v>
      </c>
      <c r="F31" s="16">
        <v>789.44</v>
      </c>
      <c r="G31" s="5">
        <v>65.25</v>
      </c>
      <c r="H31" s="5">
        <v>568.73</v>
      </c>
      <c r="I31" s="6" t="s">
        <v>108</v>
      </c>
      <c r="J31" s="6" t="s">
        <v>5</v>
      </c>
      <c r="K31" s="14">
        <v>4671</v>
      </c>
      <c r="L31" s="7">
        <v>1</v>
      </c>
      <c r="M31" s="7" t="s">
        <v>101</v>
      </c>
      <c r="N31" s="7" t="s">
        <v>39</v>
      </c>
      <c r="O31" s="11">
        <f>55*K31</f>
        <v>256905</v>
      </c>
      <c r="P31" s="22"/>
      <c r="Q31" s="22"/>
    </row>
    <row r="32" spans="1:21" ht="39.6" x14ac:dyDescent="0.25">
      <c r="A32" s="5">
        <v>32195</v>
      </c>
      <c r="B32" s="5" t="s">
        <v>34</v>
      </c>
      <c r="C32" s="5" t="s">
        <v>109</v>
      </c>
      <c r="D32" s="5" t="s">
        <v>110</v>
      </c>
      <c r="E32" s="5" t="s">
        <v>111</v>
      </c>
      <c r="F32" s="16">
        <v>885.71</v>
      </c>
      <c r="G32" s="5">
        <v>59.53</v>
      </c>
      <c r="H32" s="5">
        <v>538.12</v>
      </c>
      <c r="I32" s="6" t="s">
        <v>112</v>
      </c>
      <c r="J32" s="6" t="s">
        <v>72</v>
      </c>
      <c r="K32" s="14">
        <v>8558</v>
      </c>
      <c r="L32" s="7">
        <v>1</v>
      </c>
      <c r="M32" s="7" t="s">
        <v>101</v>
      </c>
      <c r="N32" s="7" t="s">
        <v>39</v>
      </c>
      <c r="O32" s="11">
        <f>60*K32</f>
        <v>513480</v>
      </c>
      <c r="P32" s="22"/>
      <c r="Q32" s="22"/>
      <c r="T32" s="68"/>
    </row>
    <row r="33" spans="1:21" ht="39.6" x14ac:dyDescent="0.25">
      <c r="A33" s="5">
        <v>32229</v>
      </c>
      <c r="B33" s="5" t="s">
        <v>34</v>
      </c>
      <c r="C33" s="5" t="s">
        <v>113</v>
      </c>
      <c r="D33" s="5" t="s">
        <v>114</v>
      </c>
      <c r="E33" s="5" t="s">
        <v>54</v>
      </c>
      <c r="F33" s="16">
        <v>178.15</v>
      </c>
      <c r="G33" s="5">
        <v>63.19</v>
      </c>
      <c r="H33" s="5">
        <v>480</v>
      </c>
      <c r="I33" s="6" t="s">
        <v>115</v>
      </c>
      <c r="J33" s="6" t="s">
        <v>5</v>
      </c>
      <c r="K33" s="14">
        <v>480</v>
      </c>
      <c r="L33" s="7">
        <v>1</v>
      </c>
      <c r="M33" s="7" t="s">
        <v>49</v>
      </c>
      <c r="N33" s="7" t="s">
        <v>39</v>
      </c>
      <c r="O33" s="11">
        <f>45*K33</f>
        <v>21600</v>
      </c>
      <c r="P33" s="22"/>
      <c r="Q33" s="22"/>
    </row>
    <row r="34" spans="1:21" x14ac:dyDescent="0.25">
      <c r="A34" s="5">
        <v>32230</v>
      </c>
      <c r="B34" s="5" t="s">
        <v>34</v>
      </c>
      <c r="C34" s="5" t="s">
        <v>113</v>
      </c>
      <c r="D34" s="5" t="s">
        <v>116</v>
      </c>
      <c r="E34" s="5" t="s">
        <v>54</v>
      </c>
      <c r="F34" s="16">
        <v>181.2</v>
      </c>
      <c r="G34" s="5">
        <v>69.760000000000005</v>
      </c>
      <c r="H34" s="5">
        <v>474.5</v>
      </c>
      <c r="I34" s="6" t="s">
        <v>117</v>
      </c>
      <c r="J34" s="6" t="s">
        <v>5</v>
      </c>
      <c r="K34" s="14">
        <v>473</v>
      </c>
      <c r="L34" s="7">
        <v>1</v>
      </c>
      <c r="M34" s="7" t="s">
        <v>49</v>
      </c>
      <c r="N34" s="7" t="s">
        <v>39</v>
      </c>
      <c r="O34" s="11">
        <f>45*K34</f>
        <v>21285</v>
      </c>
      <c r="P34" s="22"/>
      <c r="Q34" s="22"/>
    </row>
    <row r="35" spans="1:21" ht="39.6" x14ac:dyDescent="0.25">
      <c r="A35" s="5">
        <v>34405</v>
      </c>
      <c r="B35" s="5" t="s">
        <v>66</v>
      </c>
      <c r="C35" s="5" t="s">
        <v>118</v>
      </c>
      <c r="D35" s="5" t="s">
        <v>119</v>
      </c>
      <c r="E35" s="5" t="s">
        <v>120</v>
      </c>
      <c r="F35" s="16">
        <v>1463.71</v>
      </c>
      <c r="G35" s="5">
        <v>75.959999999999994</v>
      </c>
      <c r="H35" s="5">
        <v>220.08</v>
      </c>
      <c r="I35" s="6" t="s">
        <v>558</v>
      </c>
      <c r="J35" s="6" t="s">
        <v>5</v>
      </c>
      <c r="K35" s="14">
        <v>15271</v>
      </c>
      <c r="L35" s="7">
        <v>1</v>
      </c>
      <c r="M35" s="7" t="s">
        <v>38</v>
      </c>
      <c r="N35" s="7" t="s">
        <v>39</v>
      </c>
      <c r="O35" s="11">
        <f>35*K35</f>
        <v>534485</v>
      </c>
      <c r="P35" s="22"/>
      <c r="Q35" s="22"/>
      <c r="U35" s="68"/>
    </row>
    <row r="36" spans="1:21" ht="39.6" x14ac:dyDescent="0.25">
      <c r="A36" s="5">
        <v>34504</v>
      </c>
      <c r="B36" s="5" t="s">
        <v>73</v>
      </c>
      <c r="C36" s="5" t="s">
        <v>121</v>
      </c>
      <c r="D36" s="5" t="s">
        <v>122</v>
      </c>
      <c r="E36" s="5" t="s">
        <v>61</v>
      </c>
      <c r="F36" s="16">
        <v>1609.46</v>
      </c>
      <c r="G36" s="5">
        <v>53.26</v>
      </c>
      <c r="H36" s="5">
        <v>114.53</v>
      </c>
      <c r="I36" s="6" t="s">
        <v>123</v>
      </c>
      <c r="J36" s="6" t="s">
        <v>44</v>
      </c>
      <c r="K36" s="14">
        <v>13300</v>
      </c>
      <c r="L36" s="7">
        <v>1</v>
      </c>
      <c r="M36" s="7" t="s">
        <v>45</v>
      </c>
      <c r="N36" s="7" t="s">
        <v>39</v>
      </c>
      <c r="O36" s="11">
        <f>60*K36</f>
        <v>798000</v>
      </c>
      <c r="P36" s="22"/>
      <c r="Q36" s="22"/>
    </row>
    <row r="37" spans="1:21" x14ac:dyDescent="0.25">
      <c r="O37" s="11">
        <f>SUM(O29:O36)</f>
        <v>2640045</v>
      </c>
    </row>
  </sheetData>
  <protectedRanges>
    <protectedRange sqref="A19" name="Range1" securityDescriptor="O:WDG:WDD:(A;;CC;;;S-1-5-21-2491959838-2204332324-763144726-34238)"/>
    <protectedRange sqref="A20:A22 A26" name="Range1_1" securityDescriptor="O:WDG:WDD:(A;;CC;;;S-1-5-21-2491959838-2204332324-763144726-34238)"/>
    <protectedRange sqref="A23:A25" name="Range1_2" securityDescriptor="O:WDG:WDD:(A;;CC;;;S-1-5-21-2491959838-2204332324-763144726-34238)"/>
  </protectedRanges>
  <autoFilter ref="A2:O16" xr:uid="{93618368-FC72-4CE7-A8DB-4B05A30864EC}">
    <sortState xmlns:xlrd2="http://schemas.microsoft.com/office/spreadsheetml/2017/richdata2" ref="A3:O16">
      <sortCondition descending="1" ref="H2:H16"/>
    </sortState>
  </autoFilter>
  <mergeCells count="2">
    <mergeCell ref="A27:C27"/>
    <mergeCell ref="A1:C1"/>
  </mergeCells>
  <hyperlinks>
    <hyperlink ref="A1:C1" location="'Spend Overview'!A1" display="OVERVIEW" xr:uid="{69B394CC-FCFF-4735-ABDF-A63C8F094167}"/>
  </hyperlinks>
  <pageMargins left="0.7" right="0.7" top="0.75" bottom="0.75" header="0.3" footer="0.3"/>
  <pageSetup paperSize="9" orientation="portrait" r:id="rId1"/>
  <ignoredErrors>
    <ignoredError sqref="O7 O5 O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188A-AF9F-4CAB-ABAB-50AC251D94CC}">
  <dimension ref="A1:R23"/>
  <sheetViews>
    <sheetView zoomScaleNormal="100" workbookViewId="0">
      <selection sqref="A1:C1"/>
    </sheetView>
  </sheetViews>
  <sheetFormatPr defaultRowHeight="15" x14ac:dyDescent="0.25"/>
  <cols>
    <col min="4" max="4" width="20.08984375" customWidth="1"/>
    <col min="5" max="5" width="13.1796875" customWidth="1"/>
    <col min="9" max="9" width="75.36328125" customWidth="1"/>
    <col min="10" max="10" width="22.81640625" customWidth="1"/>
    <col min="13" max="14" width="13.54296875" customWidth="1"/>
    <col min="15" max="15" width="12.36328125" bestFit="1" customWidth="1"/>
    <col min="16" max="16" width="10.453125" bestFit="1" customWidth="1"/>
    <col min="17" max="17" width="9.6328125" bestFit="1" customWidth="1"/>
    <col min="18" max="18" width="11.6328125" bestFit="1" customWidth="1"/>
    <col min="19" max="19" width="9.90625" bestFit="1" customWidth="1"/>
    <col min="21" max="21" width="9.90625" bestFit="1" customWidth="1"/>
  </cols>
  <sheetData>
    <row r="1" spans="1:18" ht="15.6" x14ac:dyDescent="0.3">
      <c r="A1" s="130" t="s">
        <v>555</v>
      </c>
      <c r="B1" s="130"/>
      <c r="C1" s="130"/>
    </row>
    <row r="2" spans="1:18" ht="26.4" x14ac:dyDescent="0.25">
      <c r="A2" s="1" t="s">
        <v>16</v>
      </c>
      <c r="B2" s="1" t="s">
        <v>17</v>
      </c>
      <c r="C2" s="1" t="s">
        <v>18</v>
      </c>
      <c r="D2" s="1" t="s">
        <v>19</v>
      </c>
      <c r="E2" s="1" t="s">
        <v>20</v>
      </c>
      <c r="F2" s="1" t="s">
        <v>21</v>
      </c>
      <c r="G2" s="1" t="s">
        <v>22</v>
      </c>
      <c r="H2" s="1" t="s">
        <v>23</v>
      </c>
      <c r="I2" s="1" t="s">
        <v>24</v>
      </c>
      <c r="J2" s="1" t="s">
        <v>25</v>
      </c>
      <c r="K2" s="1" t="s">
        <v>124</v>
      </c>
      <c r="L2" s="1" t="s">
        <v>27</v>
      </c>
      <c r="M2" s="1" t="s">
        <v>28</v>
      </c>
      <c r="N2" s="1" t="s">
        <v>29</v>
      </c>
      <c r="O2" s="1" t="s">
        <v>125</v>
      </c>
      <c r="P2" s="1" t="s">
        <v>31</v>
      </c>
      <c r="Q2" s="1" t="s">
        <v>32</v>
      </c>
      <c r="R2" s="1" t="s">
        <v>33</v>
      </c>
    </row>
    <row r="3" spans="1:18" ht="26.4" x14ac:dyDescent="0.25">
      <c r="A3" s="5">
        <v>34612</v>
      </c>
      <c r="B3" s="5" t="s">
        <v>34</v>
      </c>
      <c r="C3" s="5" t="s">
        <v>126</v>
      </c>
      <c r="D3" s="5" t="s">
        <v>127</v>
      </c>
      <c r="E3" s="5" t="s">
        <v>128</v>
      </c>
      <c r="F3" s="5">
        <v>962.46</v>
      </c>
      <c r="G3" s="5">
        <v>65.44</v>
      </c>
      <c r="H3" s="5">
        <v>460.22</v>
      </c>
      <c r="I3" s="6" t="s">
        <v>129</v>
      </c>
      <c r="J3" s="6" t="s">
        <v>6</v>
      </c>
      <c r="K3" s="6">
        <v>4259</v>
      </c>
      <c r="L3" s="7">
        <v>1</v>
      </c>
      <c r="M3" s="7" t="s">
        <v>49</v>
      </c>
      <c r="N3" s="7" t="s">
        <v>130</v>
      </c>
      <c r="O3" s="10">
        <f>6*K3</f>
        <v>25554</v>
      </c>
      <c r="P3" s="10">
        <f t="shared" ref="P3:P12" si="0">O3*0.04</f>
        <v>1022.16</v>
      </c>
      <c r="Q3" s="10">
        <f>(O3+P3)*0.049</f>
        <v>1302.2318400000001</v>
      </c>
      <c r="R3" s="10">
        <f>O3+P3+Q3</f>
        <v>27878.39184</v>
      </c>
    </row>
    <row r="4" spans="1:18" x14ac:dyDescent="0.25">
      <c r="A4" s="5">
        <v>29529</v>
      </c>
      <c r="B4" s="5" t="s">
        <v>73</v>
      </c>
      <c r="C4" s="5" t="s">
        <v>131</v>
      </c>
      <c r="D4" s="5" t="s">
        <v>132</v>
      </c>
      <c r="E4" s="5" t="s">
        <v>133</v>
      </c>
      <c r="F4" s="5">
        <v>882.55</v>
      </c>
      <c r="G4" s="5">
        <v>68.31</v>
      </c>
      <c r="H4" s="5">
        <v>409.75</v>
      </c>
      <c r="I4" s="6" t="s">
        <v>134</v>
      </c>
      <c r="J4" s="6" t="s">
        <v>6</v>
      </c>
      <c r="K4" s="6">
        <v>2830</v>
      </c>
      <c r="L4" s="7">
        <v>1</v>
      </c>
      <c r="M4" s="7" t="s">
        <v>49</v>
      </c>
      <c r="N4" s="7" t="s">
        <v>130</v>
      </c>
      <c r="O4" s="10">
        <f t="shared" ref="O4" si="1">6*K4</f>
        <v>16980</v>
      </c>
      <c r="P4" s="10">
        <f t="shared" si="0"/>
        <v>679.2</v>
      </c>
      <c r="Q4" s="10">
        <f t="shared" ref="Q4:Q12" si="2">(O4+P4)*0.049</f>
        <v>865.30080000000009</v>
      </c>
      <c r="R4" s="10">
        <f t="shared" ref="R4:R12" si="3">O4+P4+Q4</f>
        <v>18524.500800000002</v>
      </c>
    </row>
    <row r="5" spans="1:18" x14ac:dyDescent="0.25">
      <c r="A5" s="5">
        <v>34514</v>
      </c>
      <c r="B5" s="5" t="s">
        <v>66</v>
      </c>
      <c r="C5" s="5" t="s">
        <v>135</v>
      </c>
      <c r="D5" s="5" t="s">
        <v>136</v>
      </c>
      <c r="E5" s="5" t="s">
        <v>137</v>
      </c>
      <c r="F5" s="5">
        <v>1570.8</v>
      </c>
      <c r="G5" s="5">
        <v>65.56</v>
      </c>
      <c r="H5" s="5">
        <v>393.38</v>
      </c>
      <c r="I5" s="6" t="s">
        <v>138</v>
      </c>
      <c r="J5" s="6" t="s">
        <v>6</v>
      </c>
      <c r="K5" s="6">
        <v>15210</v>
      </c>
      <c r="L5" s="7">
        <v>1</v>
      </c>
      <c r="M5" s="7" t="s">
        <v>101</v>
      </c>
      <c r="N5" s="7" t="s">
        <v>130</v>
      </c>
      <c r="O5" s="10">
        <f>6*K5</f>
        <v>91260</v>
      </c>
      <c r="P5" s="10">
        <f t="shared" si="0"/>
        <v>3650.4</v>
      </c>
      <c r="Q5" s="10">
        <f t="shared" si="2"/>
        <v>4650.6095999999998</v>
      </c>
      <c r="R5" s="10">
        <f t="shared" si="3"/>
        <v>99561.00959999999</v>
      </c>
    </row>
    <row r="6" spans="1:18" ht="26.4" x14ac:dyDescent="0.25">
      <c r="A6" s="5">
        <v>29650</v>
      </c>
      <c r="B6" s="5" t="s">
        <v>73</v>
      </c>
      <c r="C6" s="5" t="s">
        <v>139</v>
      </c>
      <c r="D6" s="5" t="s">
        <v>140</v>
      </c>
      <c r="E6" s="5" t="s">
        <v>99</v>
      </c>
      <c r="F6" s="5">
        <v>2020</v>
      </c>
      <c r="G6" s="5">
        <v>56.71</v>
      </c>
      <c r="H6" s="5">
        <v>374.2</v>
      </c>
      <c r="I6" s="6" t="s">
        <v>141</v>
      </c>
      <c r="J6" s="6" t="s">
        <v>142</v>
      </c>
      <c r="K6" s="6">
        <v>9194</v>
      </c>
      <c r="L6" s="7">
        <v>1</v>
      </c>
      <c r="M6" s="7" t="s">
        <v>49</v>
      </c>
      <c r="N6" s="7" t="s">
        <v>130</v>
      </c>
      <c r="O6" s="10">
        <f>K6*6</f>
        <v>55164</v>
      </c>
      <c r="P6" s="10">
        <f t="shared" si="0"/>
        <v>2206.56</v>
      </c>
      <c r="Q6" s="10">
        <f t="shared" si="2"/>
        <v>2811.15744</v>
      </c>
      <c r="R6" s="10">
        <f t="shared" si="3"/>
        <v>60181.71744</v>
      </c>
    </row>
    <row r="7" spans="1:18" ht="26.4" x14ac:dyDescent="0.25">
      <c r="A7" s="5">
        <v>32172</v>
      </c>
      <c r="B7" s="5" t="s">
        <v>73</v>
      </c>
      <c r="C7" s="5" t="s">
        <v>143</v>
      </c>
      <c r="D7" s="5" t="s">
        <v>144</v>
      </c>
      <c r="E7" s="5" t="s">
        <v>37</v>
      </c>
      <c r="F7" s="5">
        <v>768.91</v>
      </c>
      <c r="G7" s="5">
        <v>78.400000000000006</v>
      </c>
      <c r="H7" s="5">
        <v>337.82</v>
      </c>
      <c r="I7" s="6" t="s">
        <v>145</v>
      </c>
      <c r="J7" s="6" t="s">
        <v>6</v>
      </c>
      <c r="K7" s="6">
        <v>6156</v>
      </c>
      <c r="L7" s="7">
        <v>1</v>
      </c>
      <c r="M7" s="7" t="s">
        <v>49</v>
      </c>
      <c r="N7" s="7" t="s">
        <v>130</v>
      </c>
      <c r="O7" s="10">
        <f t="shared" ref="O7:O9" si="4">6*K7</f>
        <v>36936</v>
      </c>
      <c r="P7" s="10">
        <f t="shared" si="0"/>
        <v>1477.44</v>
      </c>
      <c r="Q7" s="10">
        <f t="shared" si="2"/>
        <v>1882.2585600000002</v>
      </c>
      <c r="R7" s="10">
        <f t="shared" si="3"/>
        <v>40295.698560000004</v>
      </c>
    </row>
    <row r="8" spans="1:18" x14ac:dyDescent="0.25">
      <c r="A8" s="5">
        <v>32169</v>
      </c>
      <c r="B8" s="5" t="s">
        <v>73</v>
      </c>
      <c r="C8" s="5" t="s">
        <v>139</v>
      </c>
      <c r="D8" s="5" t="s">
        <v>146</v>
      </c>
      <c r="E8" s="5" t="s">
        <v>61</v>
      </c>
      <c r="F8" s="5">
        <v>276.22000000000003</v>
      </c>
      <c r="G8" s="5">
        <v>72.37</v>
      </c>
      <c r="H8" s="5">
        <v>216.84</v>
      </c>
      <c r="I8" s="6" t="s">
        <v>138</v>
      </c>
      <c r="J8" s="6" t="s">
        <v>6</v>
      </c>
      <c r="K8" s="6">
        <v>7946</v>
      </c>
      <c r="L8" s="7">
        <v>1</v>
      </c>
      <c r="M8" s="7" t="s">
        <v>49</v>
      </c>
      <c r="N8" s="7" t="s">
        <v>130</v>
      </c>
      <c r="O8" s="10">
        <f t="shared" si="4"/>
        <v>47676</v>
      </c>
      <c r="P8" s="10">
        <f t="shared" si="0"/>
        <v>1907.04</v>
      </c>
      <c r="Q8" s="10">
        <f t="shared" si="2"/>
        <v>2429.5689600000001</v>
      </c>
      <c r="R8" s="10">
        <f t="shared" si="3"/>
        <v>52012.608959999998</v>
      </c>
    </row>
    <row r="9" spans="1:18" x14ac:dyDescent="0.25">
      <c r="A9" s="5">
        <v>34665</v>
      </c>
      <c r="B9" s="5" t="s">
        <v>73</v>
      </c>
      <c r="C9" s="5" t="s">
        <v>147</v>
      </c>
      <c r="D9" s="5" t="s">
        <v>148</v>
      </c>
      <c r="E9" s="5" t="s">
        <v>149</v>
      </c>
      <c r="F9" s="5">
        <v>1020.56</v>
      </c>
      <c r="G9" s="5">
        <v>46.49</v>
      </c>
      <c r="H9" s="5">
        <v>178.53</v>
      </c>
      <c r="I9" s="6" t="s">
        <v>150</v>
      </c>
      <c r="J9" s="6" t="s">
        <v>6</v>
      </c>
      <c r="K9" s="6">
        <v>3516</v>
      </c>
      <c r="L9" s="7">
        <v>1</v>
      </c>
      <c r="M9" s="7" t="s">
        <v>49</v>
      </c>
      <c r="N9" s="7" t="s">
        <v>130</v>
      </c>
      <c r="O9" s="10">
        <f t="shared" si="4"/>
        <v>21096</v>
      </c>
      <c r="P9" s="10">
        <f t="shared" si="0"/>
        <v>843.84</v>
      </c>
      <c r="Q9" s="10">
        <f t="shared" si="2"/>
        <v>1075.05216</v>
      </c>
      <c r="R9" s="10">
        <f t="shared" si="3"/>
        <v>23014.892159999999</v>
      </c>
    </row>
    <row r="10" spans="1:18" ht="26.4" x14ac:dyDescent="0.25">
      <c r="A10" s="5">
        <v>34711</v>
      </c>
      <c r="B10" s="5" t="s">
        <v>34</v>
      </c>
      <c r="C10" s="5" t="s">
        <v>151</v>
      </c>
      <c r="D10" s="5" t="s">
        <v>152</v>
      </c>
      <c r="E10" s="5" t="s">
        <v>153</v>
      </c>
      <c r="F10" s="5">
        <v>1437.83</v>
      </c>
      <c r="G10" s="5">
        <v>48.04</v>
      </c>
      <c r="H10" s="5">
        <v>285.5</v>
      </c>
      <c r="I10" s="6" t="s">
        <v>154</v>
      </c>
      <c r="J10" s="6" t="s">
        <v>6</v>
      </c>
      <c r="K10" s="6">
        <v>9962</v>
      </c>
      <c r="L10" s="7">
        <v>1</v>
      </c>
      <c r="M10" s="7" t="s">
        <v>101</v>
      </c>
      <c r="N10" s="7" t="s">
        <v>130</v>
      </c>
      <c r="O10" s="10">
        <f>12*K10</f>
        <v>119544</v>
      </c>
      <c r="P10" s="10">
        <f t="shared" si="0"/>
        <v>4781.76</v>
      </c>
      <c r="Q10" s="10">
        <f t="shared" si="2"/>
        <v>6091.9622399999998</v>
      </c>
      <c r="R10" s="10">
        <f t="shared" si="3"/>
        <v>130417.72223999999</v>
      </c>
    </row>
    <row r="11" spans="1:18" ht="26.4" x14ac:dyDescent="0.25">
      <c r="A11" s="5">
        <v>34708</v>
      </c>
      <c r="B11" s="5" t="s">
        <v>90</v>
      </c>
      <c r="C11" s="5" t="s">
        <v>155</v>
      </c>
      <c r="D11" s="5" t="s">
        <v>156</v>
      </c>
      <c r="E11" s="5" t="s">
        <v>157</v>
      </c>
      <c r="F11" s="5">
        <v>6193.34</v>
      </c>
      <c r="G11" s="5">
        <v>68.42</v>
      </c>
      <c r="H11" s="5">
        <v>191.2</v>
      </c>
      <c r="I11" s="6" t="s">
        <v>158</v>
      </c>
      <c r="J11" s="6" t="s">
        <v>6</v>
      </c>
      <c r="K11" s="6">
        <v>37255</v>
      </c>
      <c r="L11" s="7">
        <v>1</v>
      </c>
      <c r="M11" s="7" t="s">
        <v>159</v>
      </c>
      <c r="N11" s="7" t="s">
        <v>130</v>
      </c>
      <c r="O11" s="10">
        <f>9*K11</f>
        <v>335295</v>
      </c>
      <c r="P11" s="10">
        <f t="shared" si="0"/>
        <v>13411.800000000001</v>
      </c>
      <c r="Q11" s="10">
        <f t="shared" si="2"/>
        <v>17086.6332</v>
      </c>
      <c r="R11" s="10">
        <f t="shared" si="3"/>
        <v>365793.43319999997</v>
      </c>
    </row>
    <row r="12" spans="1:18" ht="26.4" x14ac:dyDescent="0.25">
      <c r="A12" s="5">
        <v>29651</v>
      </c>
      <c r="B12" s="5" t="s">
        <v>73</v>
      </c>
      <c r="C12" s="5" t="s">
        <v>139</v>
      </c>
      <c r="D12" s="5" t="s">
        <v>160</v>
      </c>
      <c r="E12" s="5" t="s">
        <v>99</v>
      </c>
      <c r="F12" s="5">
        <v>450</v>
      </c>
      <c r="G12" s="5">
        <v>65.510000000000005</v>
      </c>
      <c r="H12" s="5">
        <v>401.94</v>
      </c>
      <c r="I12" s="6" t="s">
        <v>161</v>
      </c>
      <c r="J12" s="6" t="s">
        <v>142</v>
      </c>
      <c r="K12" s="6">
        <v>1528</v>
      </c>
      <c r="L12" s="7">
        <v>1</v>
      </c>
      <c r="M12" s="7" t="s">
        <v>49</v>
      </c>
      <c r="N12" s="7" t="s">
        <v>130</v>
      </c>
      <c r="O12" s="10">
        <v>17264.599999999999</v>
      </c>
      <c r="P12" s="10">
        <f t="shared" si="0"/>
        <v>690.58399999999995</v>
      </c>
      <c r="Q12" s="10">
        <f t="shared" si="2"/>
        <v>879.80401599999993</v>
      </c>
      <c r="R12" s="10">
        <f t="shared" si="3"/>
        <v>18834.988015999996</v>
      </c>
    </row>
    <row r="13" spans="1:18" x14ac:dyDescent="0.25">
      <c r="A13" s="5">
        <v>29533</v>
      </c>
      <c r="B13" s="5" t="s">
        <v>73</v>
      </c>
      <c r="C13" s="5" t="s">
        <v>131</v>
      </c>
      <c r="D13" s="5" t="s">
        <v>162</v>
      </c>
      <c r="E13" s="5" t="s">
        <v>133</v>
      </c>
      <c r="F13" s="5">
        <v>634</v>
      </c>
      <c r="G13" s="5">
        <v>67.67</v>
      </c>
      <c r="H13" s="5">
        <v>300.52999999999997</v>
      </c>
      <c r="I13" s="6" t="s">
        <v>145</v>
      </c>
      <c r="J13" s="6" t="s">
        <v>6</v>
      </c>
      <c r="K13" s="6">
        <v>2628</v>
      </c>
      <c r="L13" s="7">
        <v>2</v>
      </c>
      <c r="M13" s="7" t="s">
        <v>49</v>
      </c>
      <c r="N13" s="7" t="s">
        <v>130</v>
      </c>
      <c r="O13" s="10">
        <f>6*K13</f>
        <v>15768</v>
      </c>
      <c r="P13" s="10">
        <f t="shared" ref="P13:P14" si="5">O13*0.04</f>
        <v>630.72</v>
      </c>
      <c r="Q13" s="10">
        <f t="shared" ref="Q13:Q14" si="6">(O13+P13)*0.049</f>
        <v>803.53728000000012</v>
      </c>
      <c r="R13" s="10">
        <f t="shared" ref="R13:R14" si="7">O13+P13+Q13</f>
        <v>17202.257280000002</v>
      </c>
    </row>
    <row r="14" spans="1:18" ht="26.4" x14ac:dyDescent="0.25">
      <c r="A14" s="5">
        <v>34470</v>
      </c>
      <c r="B14" s="5" t="s">
        <v>73</v>
      </c>
      <c r="C14" s="5" t="s">
        <v>163</v>
      </c>
      <c r="D14" s="5" t="s">
        <v>164</v>
      </c>
      <c r="E14" s="5" t="s">
        <v>157</v>
      </c>
      <c r="F14" s="5">
        <v>2880</v>
      </c>
      <c r="G14" s="5">
        <v>75.099999999999994</v>
      </c>
      <c r="H14" s="5">
        <v>255.85</v>
      </c>
      <c r="I14" s="6" t="s">
        <v>138</v>
      </c>
      <c r="J14" s="6" t="s">
        <v>6</v>
      </c>
      <c r="K14" s="6">
        <v>14854</v>
      </c>
      <c r="L14" s="7">
        <v>3</v>
      </c>
      <c r="M14" s="7" t="s">
        <v>49</v>
      </c>
      <c r="N14" s="7" t="s">
        <v>130</v>
      </c>
      <c r="O14" s="10">
        <f>6*K14</f>
        <v>89124</v>
      </c>
      <c r="P14" s="10">
        <f t="shared" si="5"/>
        <v>3564.96</v>
      </c>
      <c r="Q14" s="10">
        <f t="shared" si="6"/>
        <v>4541.7590400000008</v>
      </c>
      <c r="R14" s="10">
        <f t="shared" si="7"/>
        <v>97230.719040000011</v>
      </c>
    </row>
    <row r="15" spans="1:18" x14ac:dyDescent="0.25">
      <c r="O15" s="10">
        <f>SUM(O5:O14)+SUM(O3:O4)</f>
        <v>871661.6</v>
      </c>
      <c r="P15" s="10">
        <f>SUM(P3:P14)</f>
        <v>34866.464000000007</v>
      </c>
      <c r="Q15" s="10">
        <f>(O15+P15)*0.049</f>
        <v>44419.875136000002</v>
      </c>
      <c r="R15" s="10">
        <f>O15+P15+Q15</f>
        <v>950947.939136</v>
      </c>
    </row>
    <row r="16" spans="1:18" ht="15.6" x14ac:dyDescent="0.3">
      <c r="A16" s="128" t="s">
        <v>96</v>
      </c>
      <c r="B16" s="128"/>
      <c r="C16" s="128"/>
      <c r="O16" s="60"/>
      <c r="P16" s="60"/>
      <c r="Q16" s="61"/>
      <c r="R16" s="60"/>
    </row>
    <row r="17" spans="1:18" ht="26.4" x14ac:dyDescent="0.3">
      <c r="A17" s="1" t="s">
        <v>16</v>
      </c>
      <c r="B17" s="1" t="s">
        <v>17</v>
      </c>
      <c r="C17" s="1" t="s">
        <v>18</v>
      </c>
      <c r="D17" s="1" t="s">
        <v>19</v>
      </c>
      <c r="E17" s="1" t="s">
        <v>20</v>
      </c>
      <c r="F17" s="1" t="s">
        <v>21</v>
      </c>
      <c r="G17" s="1" t="s">
        <v>22</v>
      </c>
      <c r="H17" s="1" t="s">
        <v>23</v>
      </c>
      <c r="I17" s="1" t="s">
        <v>24</v>
      </c>
      <c r="J17" s="1" t="s">
        <v>25</v>
      </c>
      <c r="K17" s="1" t="s">
        <v>124</v>
      </c>
      <c r="L17" s="1" t="s">
        <v>27</v>
      </c>
      <c r="M17" s="1" t="s">
        <v>28</v>
      </c>
      <c r="N17" s="1" t="s">
        <v>29</v>
      </c>
      <c r="O17" s="1" t="s">
        <v>125</v>
      </c>
      <c r="P17" s="60"/>
      <c r="Q17" s="61"/>
      <c r="R17" s="60"/>
    </row>
    <row r="18" spans="1:18" x14ac:dyDescent="0.25">
      <c r="A18" s="5">
        <v>29094</v>
      </c>
      <c r="B18" s="5" t="s">
        <v>90</v>
      </c>
      <c r="C18" s="5" t="s">
        <v>165</v>
      </c>
      <c r="D18" s="5" t="s">
        <v>166</v>
      </c>
      <c r="E18" s="5" t="s">
        <v>37</v>
      </c>
      <c r="F18" s="5">
        <v>1811.53</v>
      </c>
      <c r="G18" s="5">
        <v>83.17</v>
      </c>
      <c r="H18" s="5">
        <v>176.9</v>
      </c>
      <c r="I18" s="6" t="s">
        <v>167</v>
      </c>
      <c r="J18" s="6" t="s">
        <v>6</v>
      </c>
      <c r="K18" s="6">
        <v>22853</v>
      </c>
      <c r="L18" s="7">
        <v>1</v>
      </c>
      <c r="M18" s="7" t="s">
        <v>159</v>
      </c>
      <c r="N18" s="7" t="s">
        <v>130</v>
      </c>
      <c r="O18" s="11">
        <f>9*K18</f>
        <v>205677</v>
      </c>
      <c r="Q18" s="9"/>
    </row>
    <row r="19" spans="1:18" ht="26.4" x14ac:dyDescent="0.45">
      <c r="A19" s="5">
        <v>34602</v>
      </c>
      <c r="B19" s="5" t="s">
        <v>34</v>
      </c>
      <c r="C19" s="81" t="s">
        <v>168</v>
      </c>
      <c r="D19" s="5" t="s">
        <v>169</v>
      </c>
      <c r="E19" s="5" t="s">
        <v>170</v>
      </c>
      <c r="F19" s="5">
        <v>734</v>
      </c>
      <c r="G19" s="5">
        <v>65.23</v>
      </c>
      <c r="H19" s="5">
        <v>600.1</v>
      </c>
      <c r="I19" s="6" t="s">
        <v>171</v>
      </c>
      <c r="J19" s="6" t="s">
        <v>6</v>
      </c>
      <c r="K19" s="6">
        <v>7560</v>
      </c>
      <c r="L19" s="7">
        <v>1</v>
      </c>
      <c r="M19" s="7" t="s">
        <v>101</v>
      </c>
      <c r="N19" s="7" t="s">
        <v>130</v>
      </c>
      <c r="O19" s="11">
        <f>12*K19</f>
        <v>90720</v>
      </c>
    </row>
    <row r="20" spans="1:18" ht="26.4" x14ac:dyDescent="0.25">
      <c r="A20" s="5">
        <v>29874</v>
      </c>
      <c r="B20" s="5" t="s">
        <v>73</v>
      </c>
      <c r="C20" s="5" t="s">
        <v>172</v>
      </c>
      <c r="D20" s="5" t="s">
        <v>173</v>
      </c>
      <c r="E20" s="5" t="s">
        <v>37</v>
      </c>
      <c r="F20" s="5">
        <v>903.6</v>
      </c>
      <c r="G20" s="5">
        <v>58.11</v>
      </c>
      <c r="H20" s="5">
        <v>286.13</v>
      </c>
      <c r="I20" s="6" t="s">
        <v>174</v>
      </c>
      <c r="J20" s="6" t="s">
        <v>6</v>
      </c>
      <c r="K20" s="6">
        <v>15432</v>
      </c>
      <c r="L20" s="7">
        <v>1</v>
      </c>
      <c r="M20" s="7" t="s">
        <v>101</v>
      </c>
      <c r="N20" s="7" t="s">
        <v>130</v>
      </c>
      <c r="O20" s="11">
        <f t="shared" ref="O20" si="8">12*K20</f>
        <v>185184</v>
      </c>
    </row>
    <row r="21" spans="1:18" ht="39.6" x14ac:dyDescent="0.25">
      <c r="A21" s="5">
        <v>34599</v>
      </c>
      <c r="B21" s="5" t="s">
        <v>34</v>
      </c>
      <c r="C21" s="5" t="s">
        <v>175</v>
      </c>
      <c r="D21" s="5" t="s">
        <v>176</v>
      </c>
      <c r="E21" s="5" t="s">
        <v>170</v>
      </c>
      <c r="F21" s="5">
        <v>796</v>
      </c>
      <c r="G21" s="5">
        <v>60.65</v>
      </c>
      <c r="H21" s="5">
        <v>538.41999999999996</v>
      </c>
      <c r="I21" s="6" t="s">
        <v>177</v>
      </c>
      <c r="J21" s="6" t="s">
        <v>6</v>
      </c>
      <c r="K21" s="6">
        <v>13944</v>
      </c>
      <c r="L21" s="7">
        <v>1</v>
      </c>
      <c r="M21" s="7" t="s">
        <v>49</v>
      </c>
      <c r="N21" s="7" t="s">
        <v>130</v>
      </c>
      <c r="O21" s="11">
        <f>6*K21</f>
        <v>83664</v>
      </c>
    </row>
    <row r="22" spans="1:18" ht="26.4" x14ac:dyDescent="0.25">
      <c r="A22" s="5">
        <v>34644</v>
      </c>
      <c r="B22" s="5" t="s">
        <v>73</v>
      </c>
      <c r="C22" s="5" t="s">
        <v>178</v>
      </c>
      <c r="D22" s="5" t="s">
        <v>179</v>
      </c>
      <c r="E22" s="5" t="s">
        <v>180</v>
      </c>
      <c r="F22" s="5">
        <v>1833.12</v>
      </c>
      <c r="G22" s="5">
        <v>79.38</v>
      </c>
      <c r="H22" s="5">
        <v>121.95</v>
      </c>
      <c r="I22" s="6" t="s">
        <v>181</v>
      </c>
      <c r="J22" s="6" t="s">
        <v>6</v>
      </c>
      <c r="K22" s="6">
        <v>9711</v>
      </c>
      <c r="L22" s="7">
        <v>1</v>
      </c>
      <c r="M22" s="7" t="s">
        <v>101</v>
      </c>
      <c r="N22" s="7" t="s">
        <v>130</v>
      </c>
      <c r="O22" s="11">
        <f>12*K22</f>
        <v>116532</v>
      </c>
    </row>
    <row r="23" spans="1:18" x14ac:dyDescent="0.25">
      <c r="O23" s="11">
        <f>SUM(O18:O22)</f>
        <v>681777</v>
      </c>
    </row>
  </sheetData>
  <mergeCells count="2">
    <mergeCell ref="A16:C16"/>
    <mergeCell ref="A1:C1"/>
  </mergeCells>
  <hyperlinks>
    <hyperlink ref="A1:C1" location="'Spend Overview'!A1" display="OVERVIEW" xr:uid="{ED1DD6EF-0216-4B3A-AF52-4007D4D3B234}"/>
  </hyperlinks>
  <pageMargins left="0.7" right="0.7" top="0.75" bottom="0.75" header="0.3" footer="0.3"/>
  <ignoredErrors>
    <ignoredError sqref="O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9260-C3EC-44B7-8692-B7CC10839AA1}">
  <dimension ref="A1:R14"/>
  <sheetViews>
    <sheetView zoomScaleNormal="100" workbookViewId="0">
      <selection activeCell="E1" sqref="E1:G1"/>
    </sheetView>
  </sheetViews>
  <sheetFormatPr defaultRowHeight="15" x14ac:dyDescent="0.25"/>
  <cols>
    <col min="3" max="3" width="7.6328125" bestFit="1" customWidth="1"/>
    <col min="4" max="4" width="21.54296875" bestFit="1" customWidth="1"/>
    <col min="9" max="9" width="51.08984375" customWidth="1"/>
    <col min="12" max="12" width="7.453125" bestFit="1" customWidth="1"/>
    <col min="13" max="13" width="13.54296875" customWidth="1"/>
    <col min="15" max="15" width="12.36328125" bestFit="1" customWidth="1"/>
    <col min="16" max="16" width="9.81640625" bestFit="1" customWidth="1"/>
    <col min="17" max="17" width="9.453125" bestFit="1" customWidth="1"/>
    <col min="18" max="18" width="10.6328125" bestFit="1" customWidth="1"/>
  </cols>
  <sheetData>
    <row r="1" spans="1:18" ht="15.6" x14ac:dyDescent="0.3">
      <c r="E1" s="130" t="s">
        <v>555</v>
      </c>
      <c r="F1" s="130"/>
      <c r="G1" s="130"/>
    </row>
    <row r="2" spans="1:18" ht="39.6" x14ac:dyDescent="0.25">
      <c r="A2" s="1" t="s">
        <v>182</v>
      </c>
      <c r="B2" s="1" t="s">
        <v>17</v>
      </c>
      <c r="C2" s="1" t="s">
        <v>18</v>
      </c>
      <c r="D2" s="1" t="s">
        <v>19</v>
      </c>
      <c r="E2" s="1" t="s">
        <v>20</v>
      </c>
      <c r="F2" s="1" t="s">
        <v>21</v>
      </c>
      <c r="G2" s="1" t="s">
        <v>22</v>
      </c>
      <c r="H2" s="1" t="s">
        <v>23</v>
      </c>
      <c r="I2" s="2" t="s">
        <v>24</v>
      </c>
      <c r="J2" s="2" t="s">
        <v>25</v>
      </c>
      <c r="K2" s="2" t="s">
        <v>183</v>
      </c>
      <c r="L2" s="1" t="s">
        <v>27</v>
      </c>
      <c r="M2" s="3" t="s">
        <v>28</v>
      </c>
      <c r="N2" s="3" t="s">
        <v>29</v>
      </c>
      <c r="O2" s="3" t="s">
        <v>30</v>
      </c>
      <c r="P2" s="23" t="s">
        <v>31</v>
      </c>
      <c r="Q2" s="23" t="s">
        <v>184</v>
      </c>
      <c r="R2" s="23" t="s">
        <v>33</v>
      </c>
    </row>
    <row r="3" spans="1:18" ht="26.4" x14ac:dyDescent="0.25">
      <c r="A3" s="5">
        <v>32265</v>
      </c>
      <c r="B3" s="5" t="s">
        <v>34</v>
      </c>
      <c r="C3" s="5" t="s">
        <v>185</v>
      </c>
      <c r="D3" s="5" t="s">
        <v>186</v>
      </c>
      <c r="E3" s="5" t="s">
        <v>43</v>
      </c>
      <c r="F3" s="5">
        <v>519.08000000000004</v>
      </c>
      <c r="G3" s="5">
        <v>57.43</v>
      </c>
      <c r="H3" s="5">
        <v>578.86</v>
      </c>
      <c r="I3" s="5" t="s">
        <v>187</v>
      </c>
      <c r="J3" s="6" t="s">
        <v>188</v>
      </c>
      <c r="K3" s="6">
        <v>7322</v>
      </c>
      <c r="L3" s="6">
        <v>1</v>
      </c>
      <c r="M3" s="7" t="s">
        <v>45</v>
      </c>
      <c r="N3" s="7" t="s">
        <v>39</v>
      </c>
      <c r="O3" s="10">
        <f>11*K3</f>
        <v>80542</v>
      </c>
      <c r="P3" s="10">
        <f t="shared" ref="P3:P12" si="0">O3*0.04</f>
        <v>3221.6800000000003</v>
      </c>
      <c r="Q3" s="10">
        <f>(O3+P3)*0.049</f>
        <v>4104.4203200000002</v>
      </c>
      <c r="R3" s="10">
        <f t="shared" ref="R3:R12" si="1">O3+Q3+P3</f>
        <v>87868.100319999998</v>
      </c>
    </row>
    <row r="4" spans="1:18" ht="26.4" x14ac:dyDescent="0.25">
      <c r="A4" s="5">
        <v>29959</v>
      </c>
      <c r="B4" s="5" t="s">
        <v>73</v>
      </c>
      <c r="C4" s="5" t="s">
        <v>189</v>
      </c>
      <c r="D4" s="5" t="s">
        <v>190</v>
      </c>
      <c r="E4" s="5" t="s">
        <v>191</v>
      </c>
      <c r="F4" s="5">
        <v>47.67</v>
      </c>
      <c r="G4" s="5">
        <v>58.35</v>
      </c>
      <c r="H4" s="5">
        <v>280.63</v>
      </c>
      <c r="I4" s="5" t="s">
        <v>192</v>
      </c>
      <c r="J4" s="6" t="s">
        <v>188</v>
      </c>
      <c r="K4" s="6">
        <v>17710</v>
      </c>
      <c r="L4" s="6">
        <v>1</v>
      </c>
      <c r="M4" s="7" t="s">
        <v>45</v>
      </c>
      <c r="N4" s="7" t="s">
        <v>39</v>
      </c>
      <c r="O4" s="10">
        <f>150000</f>
        <v>150000</v>
      </c>
      <c r="P4" s="10">
        <f t="shared" si="0"/>
        <v>6000</v>
      </c>
      <c r="Q4" s="10">
        <f t="shared" ref="Q4:Q12" si="2">(O4+P4)*0.049</f>
        <v>7644</v>
      </c>
      <c r="R4" s="10">
        <f t="shared" si="1"/>
        <v>163644</v>
      </c>
    </row>
    <row r="5" spans="1:18" ht="52.8" x14ac:dyDescent="0.25">
      <c r="A5" s="5">
        <v>34483</v>
      </c>
      <c r="B5" s="5" t="s">
        <v>73</v>
      </c>
      <c r="C5" s="5" t="s">
        <v>193</v>
      </c>
      <c r="D5" s="5" t="s">
        <v>194</v>
      </c>
      <c r="E5" s="5" t="s">
        <v>195</v>
      </c>
      <c r="F5" s="5">
        <v>2907.56</v>
      </c>
      <c r="G5" s="5">
        <v>82.1</v>
      </c>
      <c r="H5" s="5">
        <v>287.81</v>
      </c>
      <c r="I5" s="5" t="s">
        <v>196</v>
      </c>
      <c r="J5" s="6" t="s">
        <v>197</v>
      </c>
      <c r="K5" s="6">
        <v>20194</v>
      </c>
      <c r="L5" s="6">
        <v>1</v>
      </c>
      <c r="M5" s="7" t="s">
        <v>45</v>
      </c>
      <c r="N5" s="7" t="s">
        <v>39</v>
      </c>
      <c r="O5" s="10">
        <f t="shared" ref="O5:O6" si="3">11*K5</f>
        <v>222134</v>
      </c>
      <c r="P5" s="10">
        <f t="shared" si="0"/>
        <v>8885.36</v>
      </c>
      <c r="Q5" s="10">
        <f t="shared" si="2"/>
        <v>11319.948640000001</v>
      </c>
      <c r="R5" s="10">
        <f t="shared" si="1"/>
        <v>242339.30864</v>
      </c>
    </row>
    <row r="6" spans="1:18" ht="52.8" x14ac:dyDescent="0.25">
      <c r="A6" s="5">
        <v>34545</v>
      </c>
      <c r="B6" s="5" t="s">
        <v>73</v>
      </c>
      <c r="C6" s="5" t="s">
        <v>198</v>
      </c>
      <c r="D6" s="5" t="s">
        <v>199</v>
      </c>
      <c r="E6" s="5" t="s">
        <v>195</v>
      </c>
      <c r="F6" s="5">
        <v>1447.32</v>
      </c>
      <c r="G6" s="5">
        <v>78.11</v>
      </c>
      <c r="H6" s="5">
        <v>483.71</v>
      </c>
      <c r="I6" s="5" t="s">
        <v>200</v>
      </c>
      <c r="J6" s="6" t="s">
        <v>197</v>
      </c>
      <c r="K6" s="6">
        <v>6970</v>
      </c>
      <c r="L6" s="6">
        <v>1</v>
      </c>
      <c r="M6" s="7" t="s">
        <v>45</v>
      </c>
      <c r="N6" s="7" t="s">
        <v>39</v>
      </c>
      <c r="O6" s="10">
        <f t="shared" si="3"/>
        <v>76670</v>
      </c>
      <c r="P6" s="10">
        <f t="shared" si="0"/>
        <v>3066.8</v>
      </c>
      <c r="Q6" s="10">
        <f t="shared" si="2"/>
        <v>3907.1032000000005</v>
      </c>
      <c r="R6" s="10">
        <f t="shared" si="1"/>
        <v>83643.903200000001</v>
      </c>
    </row>
    <row r="7" spans="1:18" ht="52.8" x14ac:dyDescent="0.25">
      <c r="A7" s="5">
        <v>32167</v>
      </c>
      <c r="B7" s="5" t="s">
        <v>73</v>
      </c>
      <c r="C7" s="5" t="s">
        <v>139</v>
      </c>
      <c r="D7" s="5" t="s">
        <v>201</v>
      </c>
      <c r="E7" s="5" t="s">
        <v>128</v>
      </c>
      <c r="F7" s="5">
        <v>730.12</v>
      </c>
      <c r="G7" s="5">
        <v>85.25</v>
      </c>
      <c r="H7" s="5">
        <v>160.25</v>
      </c>
      <c r="I7" s="5" t="s">
        <v>202</v>
      </c>
      <c r="J7" s="6" t="s">
        <v>188</v>
      </c>
      <c r="K7" s="6">
        <v>15555</v>
      </c>
      <c r="L7" s="6">
        <v>1</v>
      </c>
      <c r="M7" s="7" t="s">
        <v>45</v>
      </c>
      <c r="N7" s="7" t="s">
        <v>39</v>
      </c>
      <c r="O7" s="10">
        <f t="shared" ref="O7:O12" si="4">11*K7</f>
        <v>171105</v>
      </c>
      <c r="P7" s="10">
        <f t="shared" si="0"/>
        <v>6844.2</v>
      </c>
      <c r="Q7" s="10">
        <f t="shared" si="2"/>
        <v>8719.5108</v>
      </c>
      <c r="R7" s="10">
        <f t="shared" si="1"/>
        <v>186668.7108</v>
      </c>
    </row>
    <row r="8" spans="1:18" ht="26.4" x14ac:dyDescent="0.25">
      <c r="A8" s="5">
        <v>34710</v>
      </c>
      <c r="B8" s="5" t="s">
        <v>34</v>
      </c>
      <c r="C8" s="5" t="s">
        <v>203</v>
      </c>
      <c r="D8" s="5" t="s">
        <v>204</v>
      </c>
      <c r="E8" s="5" t="s">
        <v>61</v>
      </c>
      <c r="F8" s="5">
        <v>1569.01</v>
      </c>
      <c r="G8" s="5">
        <v>59.31</v>
      </c>
      <c r="H8" s="5">
        <v>402.61</v>
      </c>
      <c r="I8" s="5" t="s">
        <v>205</v>
      </c>
      <c r="J8" s="6" t="s">
        <v>206</v>
      </c>
      <c r="K8" s="6">
        <v>8362</v>
      </c>
      <c r="L8" s="6">
        <v>1</v>
      </c>
      <c r="M8" s="7" t="s">
        <v>45</v>
      </c>
      <c r="N8" s="7" t="s">
        <v>39</v>
      </c>
      <c r="O8" s="10">
        <f t="shared" si="4"/>
        <v>91982</v>
      </c>
      <c r="P8" s="10">
        <f t="shared" si="0"/>
        <v>3679.28</v>
      </c>
      <c r="Q8" s="10">
        <f t="shared" si="2"/>
        <v>4687.40272</v>
      </c>
      <c r="R8" s="10">
        <f t="shared" si="1"/>
        <v>100348.68272</v>
      </c>
    </row>
    <row r="9" spans="1:18" ht="26.4" x14ac:dyDescent="0.25">
      <c r="A9" s="5">
        <v>34516</v>
      </c>
      <c r="B9" s="5" t="s">
        <v>34</v>
      </c>
      <c r="C9" s="5" t="s">
        <v>207</v>
      </c>
      <c r="D9" s="5" t="s">
        <v>208</v>
      </c>
      <c r="E9" s="5" t="s">
        <v>209</v>
      </c>
      <c r="F9" s="5">
        <v>452.18</v>
      </c>
      <c r="G9" s="5">
        <v>71.45</v>
      </c>
      <c r="H9" s="5">
        <v>381.36</v>
      </c>
      <c r="I9" s="6" t="s">
        <v>210</v>
      </c>
      <c r="J9" s="6" t="s">
        <v>206</v>
      </c>
      <c r="K9" s="6">
        <v>2401</v>
      </c>
      <c r="L9" s="7">
        <v>2</v>
      </c>
      <c r="M9" s="8" t="s">
        <v>45</v>
      </c>
      <c r="N9" s="7" t="s">
        <v>39</v>
      </c>
      <c r="O9" s="10">
        <f t="shared" si="4"/>
        <v>26411</v>
      </c>
      <c r="P9" s="10">
        <f t="shared" si="0"/>
        <v>1056.44</v>
      </c>
      <c r="Q9" s="10">
        <f t="shared" si="2"/>
        <v>1345.9045599999999</v>
      </c>
      <c r="R9" s="10">
        <f t="shared" si="1"/>
        <v>28813.344559999998</v>
      </c>
    </row>
    <row r="10" spans="1:18" ht="26.4" x14ac:dyDescent="0.25">
      <c r="A10" s="5">
        <v>32278</v>
      </c>
      <c r="B10" s="5" t="s">
        <v>34</v>
      </c>
      <c r="C10" s="5" t="s">
        <v>211</v>
      </c>
      <c r="D10" s="5" t="s">
        <v>212</v>
      </c>
      <c r="E10" s="5" t="s">
        <v>213</v>
      </c>
      <c r="F10" s="5">
        <v>136.69999999999999</v>
      </c>
      <c r="G10" s="5">
        <v>61.89</v>
      </c>
      <c r="H10" s="5">
        <v>775.63</v>
      </c>
      <c r="I10" s="6" t="s">
        <v>214</v>
      </c>
      <c r="J10" s="6" t="s">
        <v>206</v>
      </c>
      <c r="K10" s="6">
        <v>646</v>
      </c>
      <c r="L10" s="7">
        <v>3</v>
      </c>
      <c r="M10" s="8" t="s">
        <v>45</v>
      </c>
      <c r="N10" s="7" t="s">
        <v>39</v>
      </c>
      <c r="O10" s="10">
        <f t="shared" si="4"/>
        <v>7106</v>
      </c>
      <c r="P10" s="10">
        <f t="shared" si="0"/>
        <v>284.24</v>
      </c>
      <c r="Q10" s="10">
        <f t="shared" si="2"/>
        <v>362.12175999999999</v>
      </c>
      <c r="R10" s="10">
        <f t="shared" si="1"/>
        <v>7752.3617599999998</v>
      </c>
    </row>
    <row r="11" spans="1:18" ht="26.4" x14ac:dyDescent="0.25">
      <c r="A11" s="5">
        <v>31176</v>
      </c>
      <c r="B11" s="5" t="s">
        <v>34</v>
      </c>
      <c r="C11" s="5" t="s">
        <v>215</v>
      </c>
      <c r="D11" s="5" t="s">
        <v>216</v>
      </c>
      <c r="E11" s="5" t="s">
        <v>217</v>
      </c>
      <c r="F11" s="5">
        <v>239.36</v>
      </c>
      <c r="G11" s="5">
        <v>63.7</v>
      </c>
      <c r="H11" s="5">
        <v>726.31</v>
      </c>
      <c r="I11" s="6" t="s">
        <v>218</v>
      </c>
      <c r="J11" s="6" t="s">
        <v>206</v>
      </c>
      <c r="K11" s="6">
        <v>858</v>
      </c>
      <c r="L11" s="7">
        <v>3</v>
      </c>
      <c r="M11" s="8" t="s">
        <v>45</v>
      </c>
      <c r="N11" s="7" t="s">
        <v>39</v>
      </c>
      <c r="O11" s="10">
        <f t="shared" si="4"/>
        <v>9438</v>
      </c>
      <c r="P11" s="10">
        <f t="shared" si="0"/>
        <v>377.52</v>
      </c>
      <c r="Q11" s="10">
        <f t="shared" si="2"/>
        <v>480.96048000000002</v>
      </c>
      <c r="R11" s="10">
        <f t="shared" si="1"/>
        <v>10296.48048</v>
      </c>
    </row>
    <row r="12" spans="1:18" ht="26.4" x14ac:dyDescent="0.25">
      <c r="A12" s="5">
        <v>31158</v>
      </c>
      <c r="B12" s="5" t="s">
        <v>34</v>
      </c>
      <c r="C12" s="5" t="s">
        <v>219</v>
      </c>
      <c r="D12" s="5" t="s">
        <v>220</v>
      </c>
      <c r="E12" s="5" t="s">
        <v>133</v>
      </c>
      <c r="F12" s="5">
        <v>774.74</v>
      </c>
      <c r="G12" s="5">
        <v>68.36</v>
      </c>
      <c r="H12" s="5">
        <v>701.92</v>
      </c>
      <c r="I12" s="6" t="s">
        <v>221</v>
      </c>
      <c r="J12" s="6" t="s">
        <v>206</v>
      </c>
      <c r="K12" s="6">
        <v>6692</v>
      </c>
      <c r="L12" s="7">
        <v>3</v>
      </c>
      <c r="M12" s="8" t="s">
        <v>45</v>
      </c>
      <c r="N12" s="7" t="s">
        <v>39</v>
      </c>
      <c r="O12" s="10">
        <f t="shared" si="4"/>
        <v>73612</v>
      </c>
      <c r="P12" s="10">
        <f t="shared" si="0"/>
        <v>2944.48</v>
      </c>
      <c r="Q12" s="10">
        <f t="shared" si="2"/>
        <v>3751.2675199999999</v>
      </c>
      <c r="R12" s="10">
        <f t="shared" si="1"/>
        <v>80307.74751999999</v>
      </c>
    </row>
    <row r="13" spans="1:18" x14ac:dyDescent="0.25">
      <c r="O13" s="10">
        <f>SUM(O3:O12)</f>
        <v>909000</v>
      </c>
      <c r="P13" s="10">
        <f>SUM(P3:P12)</f>
        <v>36360</v>
      </c>
      <c r="Q13" s="10">
        <f>SUM(Q3:Q12)</f>
        <v>46322.640000000007</v>
      </c>
      <c r="R13" s="10">
        <f>SUM(O13:Q13)</f>
        <v>991682.64</v>
      </c>
    </row>
    <row r="14" spans="1:18" x14ac:dyDescent="0.25">
      <c r="P14" s="9"/>
    </row>
  </sheetData>
  <mergeCells count="1">
    <mergeCell ref="E1:G1"/>
  </mergeCells>
  <hyperlinks>
    <hyperlink ref="E1:G1" location="'Spend Overview'!A1" display="OVERVIEW" xr:uid="{CEF25CA7-ADD1-48CF-B57B-52824E392F2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9E37-C404-4254-B4B7-ECF07F3234F9}">
  <dimension ref="A1:W27"/>
  <sheetViews>
    <sheetView zoomScaleNormal="100" workbookViewId="0">
      <selection sqref="A1:C1"/>
    </sheetView>
  </sheetViews>
  <sheetFormatPr defaultRowHeight="15" x14ac:dyDescent="0.25"/>
  <cols>
    <col min="1" max="1" width="16.90625" customWidth="1"/>
    <col min="2" max="2" width="13" customWidth="1"/>
    <col min="3" max="3" width="14.54296875" customWidth="1"/>
    <col min="4" max="4" width="11.81640625" customWidth="1"/>
    <col min="6" max="6" width="14.6328125" bestFit="1" customWidth="1"/>
    <col min="7" max="7" width="72.453125" customWidth="1"/>
    <col min="8" max="8" width="42.1796875" customWidth="1"/>
    <col min="9" max="10" width="0" hidden="1" customWidth="1"/>
    <col min="11" max="11" width="10.90625" hidden="1" customWidth="1"/>
    <col min="12" max="12" width="15.08984375" hidden="1" customWidth="1"/>
    <col min="13" max="13" width="15.08984375" customWidth="1"/>
    <col min="14" max="14" width="14.1796875" bestFit="1" customWidth="1"/>
    <col min="15" max="15" width="13.453125" bestFit="1" customWidth="1"/>
    <col min="16" max="16" width="10.90625" bestFit="1" customWidth="1"/>
  </cols>
  <sheetData>
    <row r="1" spans="1:18" ht="15.6" x14ac:dyDescent="0.3">
      <c r="A1" s="130" t="s">
        <v>555</v>
      </c>
      <c r="B1" s="130"/>
      <c r="C1" s="130"/>
    </row>
    <row r="2" spans="1:18" ht="26.4" x14ac:dyDescent="0.25">
      <c r="A2" s="1" t="s">
        <v>17</v>
      </c>
      <c r="B2" s="1" t="s">
        <v>19</v>
      </c>
      <c r="C2" s="1" t="s">
        <v>20</v>
      </c>
      <c r="D2" s="1" t="s">
        <v>21</v>
      </c>
      <c r="E2" s="1" t="s">
        <v>22</v>
      </c>
      <c r="F2" s="1" t="s">
        <v>23</v>
      </c>
      <c r="G2" s="1" t="s">
        <v>24</v>
      </c>
      <c r="H2" s="1" t="s">
        <v>25</v>
      </c>
      <c r="I2" s="12"/>
      <c r="J2" s="12"/>
      <c r="K2" s="12"/>
      <c r="L2" s="12"/>
      <c r="M2" s="1" t="s">
        <v>30</v>
      </c>
      <c r="N2" s="1" t="s">
        <v>31</v>
      </c>
      <c r="O2" s="1" t="s">
        <v>32</v>
      </c>
      <c r="P2" s="1" t="s">
        <v>33</v>
      </c>
      <c r="Q2" s="1" t="s">
        <v>222</v>
      </c>
      <c r="R2" s="23"/>
    </row>
    <row r="3" spans="1:18" ht="52.8" x14ac:dyDescent="0.25">
      <c r="A3" s="72" t="s">
        <v>66</v>
      </c>
      <c r="B3" s="72" t="s">
        <v>68</v>
      </c>
      <c r="C3" s="72" t="s">
        <v>69</v>
      </c>
      <c r="D3" s="73">
        <v>445.31</v>
      </c>
      <c r="E3" s="72">
        <v>81.510000000000005</v>
      </c>
      <c r="F3" s="72">
        <v>304.01</v>
      </c>
      <c r="G3" s="74" t="s">
        <v>223</v>
      </c>
      <c r="H3" s="74" t="s">
        <v>5</v>
      </c>
      <c r="M3" s="71">
        <v>30000</v>
      </c>
      <c r="N3" s="71">
        <f>M3*0.04</f>
        <v>1200</v>
      </c>
      <c r="O3" s="71"/>
      <c r="P3" s="71">
        <f>SUM(M3+N3+O3)</f>
        <v>31200</v>
      </c>
      <c r="Q3" s="74" t="s">
        <v>224</v>
      </c>
      <c r="R3" s="19"/>
    </row>
    <row r="4" spans="1:18" ht="52.8" x14ac:dyDescent="0.25">
      <c r="A4" s="5" t="s">
        <v>34</v>
      </c>
      <c r="B4" s="5" t="s">
        <v>110</v>
      </c>
      <c r="C4" s="5" t="s">
        <v>111</v>
      </c>
      <c r="D4" s="16">
        <v>885.71</v>
      </c>
      <c r="E4" s="5">
        <v>59.53</v>
      </c>
      <c r="F4" s="5">
        <v>538.12</v>
      </c>
      <c r="G4" s="6" t="s">
        <v>225</v>
      </c>
      <c r="H4" s="6" t="s">
        <v>72</v>
      </c>
      <c r="M4" s="59">
        <v>30000</v>
      </c>
      <c r="N4" s="59">
        <f t="shared" ref="N4:N7" si="0">M4*0.04</f>
        <v>1200</v>
      </c>
      <c r="O4" s="59"/>
      <c r="P4" s="59">
        <f t="shared" ref="P4:P25" si="1">SUM(M4+N4+O4)</f>
        <v>31200</v>
      </c>
      <c r="Q4" s="6" t="s">
        <v>224</v>
      </c>
      <c r="R4" s="19"/>
    </row>
    <row r="5" spans="1:18" ht="52.8" x14ac:dyDescent="0.25">
      <c r="A5" s="5" t="s">
        <v>73</v>
      </c>
      <c r="B5" s="5" t="s">
        <v>201</v>
      </c>
      <c r="C5" s="5" t="s">
        <v>128</v>
      </c>
      <c r="D5" s="5">
        <v>730.12</v>
      </c>
      <c r="E5" s="5">
        <v>85.25</v>
      </c>
      <c r="F5" s="5">
        <v>160.25</v>
      </c>
      <c r="G5" s="6" t="s">
        <v>226</v>
      </c>
      <c r="H5" s="6" t="s">
        <v>188</v>
      </c>
      <c r="M5" s="59">
        <v>15000</v>
      </c>
      <c r="N5" s="59">
        <f t="shared" si="0"/>
        <v>600</v>
      </c>
      <c r="O5" s="59"/>
      <c r="P5" s="59">
        <f t="shared" si="1"/>
        <v>15600</v>
      </c>
      <c r="Q5" s="6" t="s">
        <v>224</v>
      </c>
      <c r="R5" s="19"/>
    </row>
    <row r="6" spans="1:18" ht="52.8" x14ac:dyDescent="0.25">
      <c r="A6" s="5" t="s">
        <v>73</v>
      </c>
      <c r="B6" s="5" t="s">
        <v>179</v>
      </c>
      <c r="C6" s="5" t="s">
        <v>180</v>
      </c>
      <c r="D6" s="5"/>
      <c r="E6" s="5"/>
      <c r="F6" s="5"/>
      <c r="G6" s="6" t="s">
        <v>227</v>
      </c>
      <c r="H6" s="6"/>
      <c r="M6" s="59">
        <v>15000</v>
      </c>
      <c r="N6" s="59">
        <f t="shared" si="0"/>
        <v>600</v>
      </c>
      <c r="O6" s="59"/>
      <c r="P6" s="59">
        <f t="shared" si="1"/>
        <v>15600</v>
      </c>
      <c r="Q6" s="6" t="s">
        <v>224</v>
      </c>
      <c r="R6" s="19"/>
    </row>
    <row r="7" spans="1:18" ht="52.8" x14ac:dyDescent="0.25">
      <c r="A7" s="5" t="s">
        <v>34</v>
      </c>
      <c r="B7" s="5" t="s">
        <v>176</v>
      </c>
      <c r="C7" s="5" t="s">
        <v>170</v>
      </c>
      <c r="D7" s="5"/>
      <c r="E7" s="5"/>
      <c r="F7" s="5"/>
      <c r="G7" s="6" t="s">
        <v>228</v>
      </c>
      <c r="H7" s="6" t="s">
        <v>6</v>
      </c>
      <c r="M7" s="70">
        <v>20000</v>
      </c>
      <c r="N7" s="70">
        <f t="shared" si="0"/>
        <v>800</v>
      </c>
      <c r="O7" s="70"/>
      <c r="P7" s="70">
        <f t="shared" si="1"/>
        <v>20800</v>
      </c>
      <c r="Q7" s="6" t="s">
        <v>224</v>
      </c>
      <c r="R7" s="19"/>
    </row>
    <row r="8" spans="1:18" x14ac:dyDescent="0.25">
      <c r="M8" s="59">
        <f>SUM(M3:M7)</f>
        <v>110000</v>
      </c>
      <c r="N8" s="59">
        <f t="shared" ref="N8:P8" si="2">SUM(N3:N7)</f>
        <v>4400</v>
      </c>
      <c r="O8" s="59">
        <f t="shared" si="2"/>
        <v>0</v>
      </c>
      <c r="P8" s="59">
        <f t="shared" si="2"/>
        <v>114400</v>
      </c>
      <c r="R8" s="19"/>
    </row>
    <row r="9" spans="1:18" x14ac:dyDescent="0.25">
      <c r="P9" s="67"/>
      <c r="R9" s="19"/>
    </row>
    <row r="10" spans="1:18" ht="26.4" x14ac:dyDescent="0.25">
      <c r="A10" s="1" t="s">
        <v>17</v>
      </c>
      <c r="B10" s="1" t="s">
        <v>19</v>
      </c>
      <c r="C10" s="1" t="s">
        <v>20</v>
      </c>
      <c r="D10" s="1" t="s">
        <v>21</v>
      </c>
      <c r="E10" s="1" t="s">
        <v>22</v>
      </c>
      <c r="F10" s="1" t="s">
        <v>23</v>
      </c>
      <c r="G10" s="1" t="s">
        <v>24</v>
      </c>
      <c r="H10" s="1" t="s">
        <v>25</v>
      </c>
      <c r="I10" s="12"/>
      <c r="J10" s="12"/>
      <c r="K10" s="12"/>
      <c r="L10" s="12"/>
      <c r="M10" s="1" t="s">
        <v>30</v>
      </c>
      <c r="N10" s="1" t="s">
        <v>31</v>
      </c>
      <c r="O10" s="1" t="s">
        <v>32</v>
      </c>
      <c r="P10" s="1" t="s">
        <v>33</v>
      </c>
      <c r="Q10" s="1" t="s">
        <v>222</v>
      </c>
      <c r="R10" s="19"/>
    </row>
    <row r="11" spans="1:18" ht="52.8" x14ac:dyDescent="0.25">
      <c r="A11" s="72" t="s">
        <v>66</v>
      </c>
      <c r="B11" s="72" t="s">
        <v>68</v>
      </c>
      <c r="C11" s="72" t="s">
        <v>69</v>
      </c>
      <c r="D11" s="73">
        <v>445.31</v>
      </c>
      <c r="E11" s="72">
        <v>81.510000000000005</v>
      </c>
      <c r="F11" s="72">
        <v>304.01</v>
      </c>
      <c r="G11" s="74" t="s">
        <v>229</v>
      </c>
      <c r="H11" s="74" t="s">
        <v>5</v>
      </c>
      <c r="M11" s="71">
        <v>80000</v>
      </c>
      <c r="N11" s="71">
        <f>M11*0.04</f>
        <v>3200</v>
      </c>
      <c r="O11" s="71">
        <f>(M11+N11)*0.049</f>
        <v>4076.8</v>
      </c>
      <c r="P11" s="71">
        <f t="shared" si="1"/>
        <v>87276.800000000003</v>
      </c>
      <c r="Q11" s="74" t="s">
        <v>230</v>
      </c>
      <c r="R11" s="19"/>
    </row>
    <row r="12" spans="1:18" ht="39.6" x14ac:dyDescent="0.25">
      <c r="A12" s="5" t="s">
        <v>34</v>
      </c>
      <c r="B12" s="5" t="s">
        <v>110</v>
      </c>
      <c r="C12" s="5" t="s">
        <v>111</v>
      </c>
      <c r="D12" s="16">
        <v>885.71</v>
      </c>
      <c r="E12" s="5">
        <v>59.53</v>
      </c>
      <c r="F12" s="5">
        <v>538.12</v>
      </c>
      <c r="G12" s="6" t="s">
        <v>231</v>
      </c>
      <c r="H12" s="6" t="s">
        <v>72</v>
      </c>
      <c r="M12" s="59">
        <v>50000</v>
      </c>
      <c r="N12" s="59">
        <f t="shared" ref="N12:N25" si="3">M12*0.04</f>
        <v>2000</v>
      </c>
      <c r="O12" s="59">
        <f t="shared" ref="O12:O25" si="4">(M12+N12)*0.049</f>
        <v>2548</v>
      </c>
      <c r="P12" s="59">
        <f t="shared" si="1"/>
        <v>54548</v>
      </c>
      <c r="Q12" s="6" t="s">
        <v>230</v>
      </c>
      <c r="R12" s="19"/>
    </row>
    <row r="13" spans="1:18" ht="39.6" x14ac:dyDescent="0.25">
      <c r="A13" s="5" t="s">
        <v>73</v>
      </c>
      <c r="B13" s="5" t="s">
        <v>201</v>
      </c>
      <c r="C13" s="5" t="s">
        <v>128</v>
      </c>
      <c r="D13" s="5">
        <v>730.12</v>
      </c>
      <c r="E13" s="5">
        <v>85.25</v>
      </c>
      <c r="F13" s="5">
        <v>160.25</v>
      </c>
      <c r="G13" s="6" t="s">
        <v>232</v>
      </c>
      <c r="H13" s="6"/>
      <c r="M13" s="59">
        <v>30000</v>
      </c>
      <c r="N13" s="59">
        <f t="shared" si="3"/>
        <v>1200</v>
      </c>
      <c r="O13" s="59">
        <f t="shared" si="4"/>
        <v>1528.8</v>
      </c>
      <c r="P13" s="59">
        <f t="shared" si="1"/>
        <v>32728.799999999999</v>
      </c>
      <c r="Q13" s="6" t="s">
        <v>230</v>
      </c>
      <c r="R13" s="19"/>
    </row>
    <row r="14" spans="1:18" ht="39.6" x14ac:dyDescent="0.25">
      <c r="A14" s="5" t="s">
        <v>34</v>
      </c>
      <c r="B14" s="5" t="s">
        <v>208</v>
      </c>
      <c r="C14" s="5" t="s">
        <v>209</v>
      </c>
      <c r="D14" s="5">
        <v>452.18</v>
      </c>
      <c r="E14" s="5">
        <v>71.45</v>
      </c>
      <c r="F14" s="5">
        <v>381.36</v>
      </c>
      <c r="G14" s="6" t="s">
        <v>233</v>
      </c>
      <c r="H14" s="6" t="s">
        <v>206</v>
      </c>
      <c r="M14" s="59">
        <v>25000</v>
      </c>
      <c r="N14" s="59">
        <f t="shared" si="3"/>
        <v>1000</v>
      </c>
      <c r="O14" s="59">
        <f t="shared" si="4"/>
        <v>1274</v>
      </c>
      <c r="P14" s="59">
        <f t="shared" si="1"/>
        <v>27274</v>
      </c>
      <c r="Q14" s="6" t="s">
        <v>230</v>
      </c>
      <c r="R14" s="19"/>
    </row>
    <row r="15" spans="1:18" ht="39.6" x14ac:dyDescent="0.25">
      <c r="A15" s="5" t="s">
        <v>73</v>
      </c>
      <c r="B15" s="5" t="s">
        <v>234</v>
      </c>
      <c r="C15" s="5" t="s">
        <v>111</v>
      </c>
      <c r="D15" s="5">
        <v>689.65</v>
      </c>
      <c r="E15" s="5">
        <v>75.099999999999994</v>
      </c>
      <c r="F15" s="5">
        <v>255.85</v>
      </c>
      <c r="G15" s="69" t="s">
        <v>235</v>
      </c>
      <c r="H15" s="6" t="s">
        <v>6</v>
      </c>
      <c r="M15" s="59">
        <v>40000</v>
      </c>
      <c r="N15" s="59">
        <f t="shared" si="3"/>
        <v>1600</v>
      </c>
      <c r="O15" s="59">
        <f t="shared" si="4"/>
        <v>2038.4</v>
      </c>
      <c r="P15" s="59">
        <f t="shared" si="1"/>
        <v>43638.400000000001</v>
      </c>
      <c r="Q15" s="6" t="s">
        <v>230</v>
      </c>
      <c r="R15" s="19"/>
    </row>
    <row r="16" spans="1:18" ht="39.6" x14ac:dyDescent="0.25">
      <c r="A16" s="5" t="s">
        <v>73</v>
      </c>
      <c r="B16" s="5" t="s">
        <v>179</v>
      </c>
      <c r="C16" s="5" t="s">
        <v>180</v>
      </c>
      <c r="D16" s="5">
        <v>1833.12</v>
      </c>
      <c r="E16" s="5">
        <v>79.38</v>
      </c>
      <c r="F16" s="5">
        <v>121.95</v>
      </c>
      <c r="G16" s="6" t="s">
        <v>232</v>
      </c>
      <c r="H16" s="6" t="s">
        <v>6</v>
      </c>
      <c r="M16" s="59">
        <v>40000</v>
      </c>
      <c r="N16" s="59">
        <f t="shared" si="3"/>
        <v>1600</v>
      </c>
      <c r="O16" s="59">
        <f t="shared" si="4"/>
        <v>2038.4</v>
      </c>
      <c r="P16" s="59">
        <f t="shared" si="1"/>
        <v>43638.400000000001</v>
      </c>
      <c r="Q16" s="6" t="s">
        <v>230</v>
      </c>
      <c r="R16" s="19"/>
    </row>
    <row r="17" spans="1:23" ht="52.8" x14ac:dyDescent="0.25">
      <c r="A17" s="5" t="s">
        <v>34</v>
      </c>
      <c r="B17" s="5" t="s">
        <v>176</v>
      </c>
      <c r="C17" s="5" t="s">
        <v>170</v>
      </c>
      <c r="D17" s="5"/>
      <c r="E17" s="5"/>
      <c r="F17" s="5"/>
      <c r="G17" s="6" t="s">
        <v>229</v>
      </c>
      <c r="H17" s="6" t="s">
        <v>6</v>
      </c>
      <c r="M17" s="59">
        <v>70000</v>
      </c>
      <c r="N17" s="59">
        <f t="shared" si="3"/>
        <v>2800</v>
      </c>
      <c r="O17" s="59">
        <f t="shared" si="4"/>
        <v>3567.2000000000003</v>
      </c>
      <c r="P17" s="59">
        <f t="shared" si="1"/>
        <v>76367.199999999997</v>
      </c>
      <c r="Q17" s="6" t="s">
        <v>230</v>
      </c>
      <c r="R17" s="19"/>
    </row>
    <row r="18" spans="1:23" ht="39.6" x14ac:dyDescent="0.25">
      <c r="A18" s="5" t="s">
        <v>34</v>
      </c>
      <c r="B18" s="5" t="s">
        <v>236</v>
      </c>
      <c r="C18" s="5" t="s">
        <v>237</v>
      </c>
      <c r="D18" s="6"/>
      <c r="E18" s="7"/>
      <c r="F18" s="5"/>
      <c r="G18" s="5" t="s">
        <v>238</v>
      </c>
      <c r="H18" s="5"/>
      <c r="M18" s="59">
        <v>30000</v>
      </c>
      <c r="N18" s="59">
        <f t="shared" si="3"/>
        <v>1200</v>
      </c>
      <c r="O18" s="59">
        <f t="shared" si="4"/>
        <v>1528.8</v>
      </c>
      <c r="P18" s="59">
        <f t="shared" si="1"/>
        <v>32728.799999999999</v>
      </c>
      <c r="Q18" s="6" t="s">
        <v>230</v>
      </c>
      <c r="R18" s="19"/>
    </row>
    <row r="19" spans="1:23" ht="39.6" x14ac:dyDescent="0.25">
      <c r="A19" s="5" t="s">
        <v>66</v>
      </c>
      <c r="B19" s="5" t="s">
        <v>239</v>
      </c>
      <c r="C19" s="5" t="s">
        <v>240</v>
      </c>
      <c r="D19" s="6"/>
      <c r="E19" s="7"/>
      <c r="F19" s="5"/>
      <c r="G19" s="5" t="s">
        <v>241</v>
      </c>
      <c r="H19" s="5"/>
      <c r="M19" s="59">
        <v>40000</v>
      </c>
      <c r="N19" s="59">
        <f t="shared" si="3"/>
        <v>1600</v>
      </c>
      <c r="O19" s="59">
        <f t="shared" si="4"/>
        <v>2038.4</v>
      </c>
      <c r="P19" s="59">
        <f t="shared" si="1"/>
        <v>43638.400000000001</v>
      </c>
      <c r="Q19" s="6" t="s">
        <v>230</v>
      </c>
      <c r="R19" s="19"/>
    </row>
    <row r="20" spans="1:23" ht="39.6" x14ac:dyDescent="0.25">
      <c r="A20" s="5" t="s">
        <v>66</v>
      </c>
      <c r="B20" s="5" t="s">
        <v>242</v>
      </c>
      <c r="C20" s="5" t="s">
        <v>243</v>
      </c>
      <c r="D20" s="6"/>
      <c r="E20" s="7"/>
      <c r="F20" s="5"/>
      <c r="G20" s="5" t="s">
        <v>244</v>
      </c>
      <c r="H20" s="5"/>
      <c r="M20" s="59">
        <v>50000</v>
      </c>
      <c r="N20" s="59">
        <f t="shared" si="3"/>
        <v>2000</v>
      </c>
      <c r="O20" s="59">
        <f t="shared" si="4"/>
        <v>2548</v>
      </c>
      <c r="P20" s="59">
        <f t="shared" si="1"/>
        <v>54548</v>
      </c>
      <c r="Q20" s="6" t="s">
        <v>230</v>
      </c>
      <c r="R20" s="19"/>
    </row>
    <row r="21" spans="1:23" ht="39.6" x14ac:dyDescent="0.25">
      <c r="A21" s="5" t="s">
        <v>73</v>
      </c>
      <c r="B21" s="5" t="s">
        <v>245</v>
      </c>
      <c r="C21" s="5" t="s">
        <v>246</v>
      </c>
      <c r="D21" s="6"/>
      <c r="E21" s="7"/>
      <c r="F21" s="5"/>
      <c r="G21" s="5" t="s">
        <v>247</v>
      </c>
      <c r="H21" s="5"/>
      <c r="M21" s="59">
        <v>13461.54</v>
      </c>
      <c r="N21" s="59">
        <f t="shared" si="3"/>
        <v>538.46160000000009</v>
      </c>
      <c r="O21" s="59">
        <f t="shared" si="4"/>
        <v>686.00007840000012</v>
      </c>
      <c r="P21" s="59">
        <f t="shared" si="1"/>
        <v>14686.001678400002</v>
      </c>
      <c r="Q21" s="6" t="s">
        <v>230</v>
      </c>
    </row>
    <row r="22" spans="1:23" ht="39.6" x14ac:dyDescent="0.25">
      <c r="A22" s="5" t="s">
        <v>73</v>
      </c>
      <c r="B22" s="5" t="s">
        <v>248</v>
      </c>
      <c r="C22" s="5" t="s">
        <v>249</v>
      </c>
      <c r="D22" s="6"/>
      <c r="E22" s="7"/>
      <c r="F22" s="5"/>
      <c r="G22" s="5" t="s">
        <v>250</v>
      </c>
      <c r="H22" s="5"/>
      <c r="M22" s="59">
        <v>25000</v>
      </c>
      <c r="N22" s="59">
        <f t="shared" si="3"/>
        <v>1000</v>
      </c>
      <c r="O22" s="59">
        <f t="shared" si="4"/>
        <v>1274</v>
      </c>
      <c r="P22" s="59">
        <f t="shared" si="1"/>
        <v>27274</v>
      </c>
      <c r="Q22" s="6" t="s">
        <v>230</v>
      </c>
    </row>
    <row r="23" spans="1:23" ht="39.6" x14ac:dyDescent="0.25">
      <c r="A23" s="5" t="s">
        <v>73</v>
      </c>
      <c r="B23" s="5" t="s">
        <v>251</v>
      </c>
      <c r="C23" s="5" t="s">
        <v>252</v>
      </c>
      <c r="D23" s="6"/>
      <c r="E23" s="7"/>
      <c r="F23" s="5"/>
      <c r="G23" s="5" t="s">
        <v>253</v>
      </c>
      <c r="H23" s="5"/>
      <c r="M23" s="59">
        <v>40000</v>
      </c>
      <c r="N23" s="59">
        <f t="shared" si="3"/>
        <v>1600</v>
      </c>
      <c r="O23" s="59">
        <f t="shared" si="4"/>
        <v>2038.4</v>
      </c>
      <c r="P23" s="59">
        <f t="shared" si="1"/>
        <v>43638.400000000001</v>
      </c>
      <c r="Q23" s="6" t="s">
        <v>230</v>
      </c>
    </row>
    <row r="24" spans="1:23" ht="39.6" x14ac:dyDescent="0.25">
      <c r="A24" s="5" t="s">
        <v>90</v>
      </c>
      <c r="B24" s="5" t="s">
        <v>254</v>
      </c>
      <c r="C24" s="5" t="s">
        <v>255</v>
      </c>
      <c r="D24" s="6"/>
      <c r="E24" s="7"/>
      <c r="F24" s="5"/>
      <c r="G24" s="5" t="s">
        <v>256</v>
      </c>
      <c r="H24" s="5"/>
      <c r="M24" s="59">
        <v>40000</v>
      </c>
      <c r="N24" s="59">
        <f t="shared" si="3"/>
        <v>1600</v>
      </c>
      <c r="O24" s="59">
        <f t="shared" si="4"/>
        <v>2038.4</v>
      </c>
      <c r="P24" s="59">
        <f t="shared" si="1"/>
        <v>43638.400000000001</v>
      </c>
      <c r="Q24" s="6" t="s">
        <v>230</v>
      </c>
      <c r="W24" t="s">
        <v>257</v>
      </c>
    </row>
    <row r="25" spans="1:23" ht="39.6" x14ac:dyDescent="0.25">
      <c r="A25" s="5" t="s">
        <v>34</v>
      </c>
      <c r="B25" s="5" t="s">
        <v>258</v>
      </c>
      <c r="C25" s="5" t="s">
        <v>259</v>
      </c>
      <c r="D25" s="6"/>
      <c r="E25" s="7"/>
      <c r="F25" s="5"/>
      <c r="G25" s="5" t="s">
        <v>260</v>
      </c>
      <c r="H25" s="5"/>
      <c r="M25" s="59">
        <v>15000</v>
      </c>
      <c r="N25" s="59">
        <f t="shared" si="3"/>
        <v>600</v>
      </c>
      <c r="O25" s="59">
        <f t="shared" si="4"/>
        <v>764.4</v>
      </c>
      <c r="P25" s="59">
        <f t="shared" si="1"/>
        <v>16364.4</v>
      </c>
      <c r="Q25" s="6" t="s">
        <v>230</v>
      </c>
      <c r="W25" t="s">
        <v>261</v>
      </c>
    </row>
    <row r="26" spans="1:23" x14ac:dyDescent="0.25">
      <c r="M26" s="62">
        <f>SUM(M11:M25)</f>
        <v>588461.54</v>
      </c>
      <c r="N26" s="62">
        <f t="shared" ref="N26:O26" si="5">SUM(N11:N25)</f>
        <v>23538.461599999999</v>
      </c>
      <c r="O26" s="62">
        <f t="shared" si="5"/>
        <v>29988.000078400004</v>
      </c>
      <c r="P26" s="62">
        <f>SUM(P11:P25)</f>
        <v>641988.00167840009</v>
      </c>
      <c r="Q26" s="19"/>
    </row>
    <row r="27" spans="1:23" x14ac:dyDescent="0.25">
      <c r="M27" s="67"/>
      <c r="N27" s="67"/>
      <c r="O27" s="67"/>
      <c r="P27" s="67"/>
      <c r="Q27" s="19"/>
    </row>
  </sheetData>
  <autoFilter ref="A2:Q2" xr:uid="{8CE59E37-C404-4254-B4B7-ECF07F3234F9}"/>
  <mergeCells count="1">
    <mergeCell ref="A1:C1"/>
  </mergeCells>
  <hyperlinks>
    <hyperlink ref="G15" r:id="rId1" display="CCTV survey. Works £40k " xr:uid="{365C8880-F21C-4D2E-BD06-96E0A862A1E8}"/>
    <hyperlink ref="A1:C1" location="'Spend Overview'!A1" display="OVERVIEW" xr:uid="{95ED990F-D726-4713-824F-A14F26252F1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A9FC-BF0F-4619-8E4D-F5E83A7A83C1}">
  <dimension ref="A1:AT13"/>
  <sheetViews>
    <sheetView zoomScaleNormal="100" workbookViewId="0"/>
  </sheetViews>
  <sheetFormatPr defaultRowHeight="15" x14ac:dyDescent="0.25"/>
  <cols>
    <col min="1" max="1" width="49.36328125" customWidth="1"/>
    <col min="2" max="2" width="22.6328125" customWidth="1"/>
    <col min="3" max="3" width="16.54296875" customWidth="1"/>
    <col min="4" max="4" width="22.1796875" customWidth="1"/>
    <col min="5" max="5" width="27" customWidth="1"/>
    <col min="6" max="6" width="19.453125" customWidth="1"/>
    <col min="7" max="7" width="40" customWidth="1"/>
    <col min="9" max="9" width="25.1796875" customWidth="1"/>
    <col min="10" max="10" width="12" bestFit="1" customWidth="1"/>
    <col min="11" max="12" width="10.90625" customWidth="1"/>
    <col min="13" max="13" width="12.453125" bestFit="1" customWidth="1"/>
    <col min="14" max="14" width="13.1796875" bestFit="1" customWidth="1"/>
    <col min="15" max="15" width="13.90625" bestFit="1" customWidth="1"/>
  </cols>
  <sheetData>
    <row r="1" spans="1:46" ht="15.6" x14ac:dyDescent="0.3">
      <c r="A1" s="131" t="s">
        <v>555</v>
      </c>
    </row>
    <row r="2" spans="1:46" s="51" customFormat="1" ht="63.75" customHeight="1" x14ac:dyDescent="0.25">
      <c r="A2" s="24"/>
      <c r="B2" s="25" t="s">
        <v>262</v>
      </c>
      <c r="C2" s="25" t="s">
        <v>263</v>
      </c>
      <c r="D2" s="25" t="s">
        <v>264</v>
      </c>
      <c r="E2" s="25" t="s">
        <v>265</v>
      </c>
      <c r="F2" s="26" t="s">
        <v>266</v>
      </c>
      <c r="G2" s="25" t="s">
        <v>267</v>
      </c>
      <c r="H2" s="25" t="s">
        <v>268</v>
      </c>
      <c r="I2" s="27" t="s">
        <v>269</v>
      </c>
      <c r="J2" s="27" t="s">
        <v>270</v>
      </c>
      <c r="K2" s="27" t="s">
        <v>271</v>
      </c>
      <c r="L2" s="27" t="s">
        <v>29</v>
      </c>
      <c r="M2" s="27" t="s">
        <v>272</v>
      </c>
      <c r="N2" s="27" t="s">
        <v>273</v>
      </c>
      <c r="O2" s="27" t="s">
        <v>4</v>
      </c>
      <c r="AT2" s="52" t="s">
        <v>274</v>
      </c>
    </row>
    <row r="3" spans="1:46" ht="30" x14ac:dyDescent="0.25">
      <c r="A3" s="37" t="s">
        <v>275</v>
      </c>
      <c r="B3" s="38" t="s">
        <v>276</v>
      </c>
      <c r="C3" s="48" t="s">
        <v>277</v>
      </c>
      <c r="D3" s="38" t="s">
        <v>278</v>
      </c>
      <c r="E3" s="38" t="s">
        <v>279</v>
      </c>
      <c r="F3" s="49" t="s">
        <v>280</v>
      </c>
      <c r="G3" s="50" t="s">
        <v>281</v>
      </c>
      <c r="H3" s="38" t="s">
        <v>282</v>
      </c>
      <c r="I3" s="39">
        <v>250000</v>
      </c>
      <c r="J3" s="40" t="s">
        <v>283</v>
      </c>
      <c r="K3" s="62" t="s">
        <v>49</v>
      </c>
      <c r="L3" s="62" t="s">
        <v>284</v>
      </c>
      <c r="M3" s="59">
        <f>I3*0.049</f>
        <v>12250</v>
      </c>
      <c r="N3" s="59">
        <f>I3*0.2</f>
        <v>50000</v>
      </c>
      <c r="O3" s="59">
        <f>M3+I3+N3</f>
        <v>312250</v>
      </c>
    </row>
    <row r="4" spans="1:46" ht="15.6" x14ac:dyDescent="0.25">
      <c r="A4" s="24" t="s">
        <v>285</v>
      </c>
      <c r="B4" s="28">
        <v>36001</v>
      </c>
      <c r="C4" s="29" t="s">
        <v>277</v>
      </c>
      <c r="D4" s="28" t="s">
        <v>278</v>
      </c>
      <c r="E4" s="28" t="s">
        <v>279</v>
      </c>
      <c r="F4" s="30" t="s">
        <v>280</v>
      </c>
      <c r="G4" s="31" t="s">
        <v>286</v>
      </c>
      <c r="H4" s="28" t="s">
        <v>282</v>
      </c>
      <c r="I4" s="32">
        <v>100000</v>
      </c>
      <c r="J4" s="33" t="s">
        <v>283</v>
      </c>
      <c r="K4" s="62" t="s">
        <v>159</v>
      </c>
      <c r="L4" s="62" t="s">
        <v>284</v>
      </c>
      <c r="M4" s="59">
        <f>I4*0.049</f>
        <v>4900</v>
      </c>
      <c r="N4" s="59">
        <f>I4*0.2</f>
        <v>20000</v>
      </c>
      <c r="O4" s="59">
        <f>M4+I4+N4</f>
        <v>124900</v>
      </c>
    </row>
    <row r="5" spans="1:46" ht="30" x14ac:dyDescent="0.25">
      <c r="A5" s="24" t="s">
        <v>287</v>
      </c>
      <c r="B5" s="28">
        <v>56112</v>
      </c>
      <c r="C5" s="29" t="s">
        <v>277</v>
      </c>
      <c r="D5" s="28" t="s">
        <v>278</v>
      </c>
      <c r="E5" s="28" t="s">
        <v>279</v>
      </c>
      <c r="F5" s="30" t="s">
        <v>280</v>
      </c>
      <c r="G5" s="31" t="s">
        <v>288</v>
      </c>
      <c r="H5" s="28" t="s">
        <v>282</v>
      </c>
      <c r="I5" s="32">
        <v>100000</v>
      </c>
      <c r="J5" s="33" t="s">
        <v>283</v>
      </c>
      <c r="K5" s="62" t="s">
        <v>159</v>
      </c>
      <c r="L5" s="62" t="s">
        <v>284</v>
      </c>
      <c r="M5" s="59">
        <f>I5*0.049</f>
        <v>4900</v>
      </c>
      <c r="N5" s="59">
        <f>I5*0.2</f>
        <v>20000</v>
      </c>
      <c r="O5" s="59">
        <f>M5+I5+N5</f>
        <v>124900</v>
      </c>
    </row>
    <row r="6" spans="1:46" ht="15.6" x14ac:dyDescent="0.25">
      <c r="A6" s="24" t="s">
        <v>289</v>
      </c>
      <c r="B6" s="28">
        <v>46061</v>
      </c>
      <c r="C6" s="29" t="s">
        <v>277</v>
      </c>
      <c r="D6" s="28" t="s">
        <v>278</v>
      </c>
      <c r="E6" s="28" t="s">
        <v>279</v>
      </c>
      <c r="F6" s="30" t="s">
        <v>280</v>
      </c>
      <c r="G6" s="31" t="s">
        <v>290</v>
      </c>
      <c r="H6" s="28" t="s">
        <v>282</v>
      </c>
      <c r="I6" s="32">
        <v>50000</v>
      </c>
      <c r="J6" s="33" t="s">
        <v>283</v>
      </c>
      <c r="K6" s="62" t="s">
        <v>159</v>
      </c>
      <c r="L6" s="62" t="s">
        <v>284</v>
      </c>
      <c r="M6" s="59">
        <f>I6*0.049</f>
        <v>2450</v>
      </c>
      <c r="N6" s="59">
        <f>I6*0.2</f>
        <v>10000</v>
      </c>
      <c r="O6" s="59">
        <f>M6+I6+N6</f>
        <v>62450</v>
      </c>
    </row>
    <row r="7" spans="1:46" ht="30" x14ac:dyDescent="0.25">
      <c r="A7" s="24" t="s">
        <v>291</v>
      </c>
      <c r="B7" s="28">
        <v>35048</v>
      </c>
      <c r="C7" s="29" t="s">
        <v>277</v>
      </c>
      <c r="D7" s="28" t="s">
        <v>278</v>
      </c>
      <c r="E7" s="28" t="s">
        <v>279</v>
      </c>
      <c r="F7" s="30" t="s">
        <v>280</v>
      </c>
      <c r="G7" s="31" t="s">
        <v>292</v>
      </c>
      <c r="H7" s="28" t="s">
        <v>282</v>
      </c>
      <c r="I7" s="32">
        <v>25000</v>
      </c>
      <c r="J7" s="33" t="s">
        <v>283</v>
      </c>
      <c r="K7" s="62" t="s">
        <v>49</v>
      </c>
      <c r="L7" s="62" t="s">
        <v>284</v>
      </c>
      <c r="M7" s="59">
        <f>I7*0.049</f>
        <v>1225</v>
      </c>
      <c r="N7" s="59">
        <f>I7*0.2</f>
        <v>5000</v>
      </c>
      <c r="O7" s="59">
        <f>M7+I7+N7</f>
        <v>31225</v>
      </c>
    </row>
    <row r="8" spans="1:46" ht="36" customHeight="1" x14ac:dyDescent="0.25">
      <c r="A8" s="41"/>
      <c r="B8" s="42"/>
      <c r="C8" s="43"/>
      <c r="D8" s="42"/>
      <c r="E8" s="42"/>
      <c r="F8" s="44"/>
      <c r="G8" s="45"/>
      <c r="H8" s="42"/>
      <c r="I8" s="46"/>
      <c r="J8" s="47"/>
      <c r="K8" s="44"/>
      <c r="L8" s="44"/>
      <c r="M8" s="46"/>
      <c r="N8" s="46"/>
      <c r="O8" s="46"/>
    </row>
    <row r="9" spans="1:46" ht="30" x14ac:dyDescent="0.25">
      <c r="A9" s="24" t="s">
        <v>293</v>
      </c>
      <c r="B9" s="28"/>
      <c r="C9" s="28" t="s">
        <v>277</v>
      </c>
      <c r="D9" s="28" t="s">
        <v>294</v>
      </c>
      <c r="E9" s="28" t="s">
        <v>295</v>
      </c>
      <c r="F9" s="34" t="s">
        <v>296</v>
      </c>
      <c r="G9" s="28" t="s">
        <v>297</v>
      </c>
      <c r="H9" s="28" t="s">
        <v>282</v>
      </c>
      <c r="I9" s="32">
        <v>75000</v>
      </c>
      <c r="J9" s="33" t="s">
        <v>280</v>
      </c>
      <c r="K9" s="62" t="s">
        <v>49</v>
      </c>
      <c r="L9" s="62"/>
      <c r="M9" s="59"/>
      <c r="N9" s="59"/>
      <c r="O9" s="59">
        <f>M9+I9</f>
        <v>75000</v>
      </c>
    </row>
    <row r="10" spans="1:46" ht="30" x14ac:dyDescent="0.25">
      <c r="A10" s="24" t="s">
        <v>298</v>
      </c>
      <c r="B10" s="28"/>
      <c r="C10" s="28" t="s">
        <v>277</v>
      </c>
      <c r="D10" s="28" t="s">
        <v>294</v>
      </c>
      <c r="E10" s="28" t="s">
        <v>295</v>
      </c>
      <c r="F10" s="34" t="s">
        <v>296</v>
      </c>
      <c r="G10" s="28" t="s">
        <v>297</v>
      </c>
      <c r="H10" s="28" t="s">
        <v>282</v>
      </c>
      <c r="I10" s="32">
        <v>100000</v>
      </c>
      <c r="J10" s="33" t="s">
        <v>280</v>
      </c>
      <c r="K10" s="62" t="s">
        <v>49</v>
      </c>
      <c r="L10" s="62"/>
      <c r="M10" s="59"/>
      <c r="N10" s="59"/>
      <c r="O10" s="59">
        <f>I10</f>
        <v>100000</v>
      </c>
    </row>
    <row r="11" spans="1:46" ht="15.6" x14ac:dyDescent="0.25">
      <c r="A11" s="24" t="s">
        <v>299</v>
      </c>
      <c r="B11" s="28"/>
      <c r="C11" s="28" t="s">
        <v>277</v>
      </c>
      <c r="D11" s="28" t="s">
        <v>294</v>
      </c>
      <c r="E11" s="28" t="s">
        <v>300</v>
      </c>
      <c r="F11" s="34" t="s">
        <v>296</v>
      </c>
      <c r="G11" s="28" t="s">
        <v>297</v>
      </c>
      <c r="H11" s="35" t="s">
        <v>301</v>
      </c>
      <c r="I11" s="32">
        <v>75000</v>
      </c>
      <c r="J11" s="33" t="s">
        <v>280</v>
      </c>
      <c r="K11" s="62" t="s">
        <v>49</v>
      </c>
      <c r="L11" s="62"/>
      <c r="M11" s="59"/>
      <c r="N11" s="59"/>
      <c r="O11" s="59">
        <f>M11+I11</f>
        <v>75000</v>
      </c>
    </row>
    <row r="12" spans="1:46" ht="31.2" x14ac:dyDescent="0.25">
      <c r="A12" s="36" t="s">
        <v>302</v>
      </c>
      <c r="B12" s="28"/>
      <c r="C12" s="28" t="s">
        <v>277</v>
      </c>
      <c r="D12" s="28" t="s">
        <v>294</v>
      </c>
      <c r="E12" s="28"/>
      <c r="F12" s="34" t="s">
        <v>296</v>
      </c>
      <c r="G12" s="28" t="s">
        <v>297</v>
      </c>
      <c r="H12" s="28" t="s">
        <v>282</v>
      </c>
      <c r="I12" s="32"/>
      <c r="J12" s="33"/>
      <c r="K12" s="62"/>
      <c r="L12" s="62"/>
      <c r="M12" s="59"/>
      <c r="N12" s="59"/>
      <c r="O12" s="59">
        <f>M12+I12</f>
        <v>0</v>
      </c>
    </row>
    <row r="13" spans="1:46" ht="21" x14ac:dyDescent="0.25">
      <c r="A13" s="53"/>
      <c r="B13" s="54"/>
      <c r="C13" s="54"/>
      <c r="D13" s="55"/>
      <c r="E13" s="55"/>
      <c r="F13" s="55"/>
      <c r="G13" s="54"/>
      <c r="H13" s="54"/>
      <c r="I13" s="56"/>
      <c r="J13" s="57"/>
      <c r="K13" s="58"/>
      <c r="L13" s="58"/>
      <c r="M13" s="59">
        <f>SUM(M3:M9)+M11</f>
        <v>25725</v>
      </c>
      <c r="N13" s="59">
        <f t="shared" ref="N13" si="0">SUM(N3:N9)+N11</f>
        <v>105000</v>
      </c>
      <c r="O13" s="59">
        <f>SUM(O3:O9)+O11</f>
        <v>805725</v>
      </c>
    </row>
  </sheetData>
  <protectedRanges>
    <protectedRange sqref="AT2" name="Range1_1"/>
  </protectedRanges>
  <hyperlinks>
    <hyperlink ref="A1:C1" location="'Spend Overview'!A1" display="OVERVIEW" xr:uid="{F51F8908-D2BB-42E4-8112-1382E02C8DAD}"/>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F606-2BEB-4B4D-9661-3362FCCD2C8A}">
  <dimension ref="A1:T36"/>
  <sheetViews>
    <sheetView topLeftCell="D1" zoomScaleNormal="100" workbookViewId="0">
      <selection activeCell="D1" sqref="D1"/>
    </sheetView>
  </sheetViews>
  <sheetFormatPr defaultRowHeight="15" x14ac:dyDescent="0.25"/>
  <cols>
    <col min="1" max="1" width="25" customWidth="1"/>
    <col min="2" max="2" width="27.453125" customWidth="1"/>
    <col min="3" max="3" width="20.90625" customWidth="1"/>
    <col min="4" max="4" width="14.453125" customWidth="1"/>
    <col min="5" max="5" width="20.81640625" customWidth="1"/>
    <col min="6" max="6" width="11.453125" customWidth="1"/>
    <col min="7" max="7" width="32.81640625" customWidth="1"/>
    <col min="9" max="9" width="17.36328125" customWidth="1"/>
    <col min="10" max="10" width="10.08984375" customWidth="1"/>
    <col min="11" max="12" width="14.54296875" customWidth="1"/>
    <col min="13" max="13" width="10.90625" bestFit="1" customWidth="1"/>
    <col min="14" max="14" width="10.453125" customWidth="1"/>
    <col min="15" max="15" width="11.08984375" customWidth="1"/>
    <col min="16" max="16" width="12.6328125" bestFit="1" customWidth="1"/>
    <col min="17" max="17" width="14.81640625" customWidth="1"/>
    <col min="18" max="18" width="13.08984375" customWidth="1"/>
    <col min="19" max="19" width="12.08984375" customWidth="1"/>
    <col min="20" max="20" width="10.90625" bestFit="1" customWidth="1"/>
  </cols>
  <sheetData>
    <row r="1" spans="1:20" ht="15.6" x14ac:dyDescent="0.3">
      <c r="D1" s="131" t="s">
        <v>555</v>
      </c>
    </row>
    <row r="2" spans="1:20" ht="62.4" x14ac:dyDescent="0.25">
      <c r="A2" s="24" t="s">
        <v>303</v>
      </c>
      <c r="B2" s="25" t="s">
        <v>262</v>
      </c>
      <c r="C2" s="25" t="s">
        <v>263</v>
      </c>
      <c r="D2" s="25" t="s">
        <v>264</v>
      </c>
      <c r="E2" s="25" t="s">
        <v>265</v>
      </c>
      <c r="F2" s="26" t="s">
        <v>266</v>
      </c>
      <c r="G2" s="25" t="s">
        <v>267</v>
      </c>
      <c r="H2" s="25" t="s">
        <v>268</v>
      </c>
      <c r="I2" s="27" t="s">
        <v>269</v>
      </c>
      <c r="J2" s="27" t="s">
        <v>270</v>
      </c>
      <c r="K2" s="27" t="s">
        <v>271</v>
      </c>
      <c r="L2" s="1" t="s">
        <v>29</v>
      </c>
      <c r="M2" s="66" t="s">
        <v>304</v>
      </c>
      <c r="N2" s="66" t="s">
        <v>305</v>
      </c>
      <c r="O2" s="66" t="s">
        <v>306</v>
      </c>
      <c r="P2" s="66" t="s">
        <v>307</v>
      </c>
      <c r="Q2" s="27" t="s">
        <v>272</v>
      </c>
      <c r="R2" s="27" t="s">
        <v>273</v>
      </c>
      <c r="S2" s="27" t="s">
        <v>4</v>
      </c>
      <c r="T2" s="66" t="s">
        <v>308</v>
      </c>
    </row>
    <row r="3" spans="1:20" ht="45" x14ac:dyDescent="0.25">
      <c r="A3" s="38" t="s">
        <v>309</v>
      </c>
      <c r="B3" s="30" t="s">
        <v>297</v>
      </c>
      <c r="C3" s="38" t="s">
        <v>310</v>
      </c>
      <c r="D3" s="38" t="s">
        <v>311</v>
      </c>
      <c r="E3" s="38" t="s">
        <v>312</v>
      </c>
      <c r="F3" s="49" t="s">
        <v>280</v>
      </c>
      <c r="G3" s="38" t="s">
        <v>313</v>
      </c>
      <c r="H3" s="38" t="s">
        <v>314</v>
      </c>
      <c r="I3" s="39"/>
      <c r="J3" s="40" t="s">
        <v>280</v>
      </c>
      <c r="K3" s="63" t="s">
        <v>49</v>
      </c>
      <c r="L3" s="63" t="s">
        <v>315</v>
      </c>
      <c r="M3" s="64">
        <v>20888.71096877502</v>
      </c>
      <c r="N3" s="64">
        <v>1023.546837469976</v>
      </c>
      <c r="O3" s="64">
        <v>4177.7421937550043</v>
      </c>
      <c r="P3" s="64">
        <v>26090</v>
      </c>
      <c r="Q3" s="64">
        <v>0</v>
      </c>
      <c r="R3" s="64">
        <v>0</v>
      </c>
      <c r="S3" s="64">
        <v>0</v>
      </c>
      <c r="T3" s="64">
        <f>SUM(P3:S3)</f>
        <v>26090</v>
      </c>
    </row>
    <row r="4" spans="1:20" ht="45" x14ac:dyDescent="0.25">
      <c r="A4" s="65" t="s">
        <v>316</v>
      </c>
      <c r="B4" s="38" t="s">
        <v>297</v>
      </c>
      <c r="C4" s="38" t="s">
        <v>317</v>
      </c>
      <c r="D4" s="38" t="s">
        <v>318</v>
      </c>
      <c r="E4" s="38" t="s">
        <v>319</v>
      </c>
      <c r="F4" s="49" t="s">
        <v>280</v>
      </c>
      <c r="G4" s="38" t="s">
        <v>320</v>
      </c>
      <c r="H4" s="38" t="s">
        <v>321</v>
      </c>
      <c r="I4" s="39"/>
      <c r="J4" s="40" t="s">
        <v>280</v>
      </c>
      <c r="K4" s="63" t="s">
        <v>159</v>
      </c>
      <c r="L4" s="63" t="s">
        <v>315</v>
      </c>
      <c r="M4" s="64">
        <v>18248.198558847078</v>
      </c>
      <c r="N4" s="64">
        <v>894.16172938350689</v>
      </c>
      <c r="O4" s="64">
        <v>3649.639711769416</v>
      </c>
      <c r="P4" s="64">
        <v>22792</v>
      </c>
      <c r="Q4" s="64">
        <v>0</v>
      </c>
      <c r="R4" s="64">
        <v>0</v>
      </c>
      <c r="S4" s="64">
        <v>0</v>
      </c>
      <c r="T4" s="64">
        <f t="shared" ref="T4:T8" si="0">SUM(P4:S4)</f>
        <v>22792</v>
      </c>
    </row>
    <row r="5" spans="1:20" ht="30" x14ac:dyDescent="0.25">
      <c r="A5" s="65" t="s">
        <v>322</v>
      </c>
      <c r="B5" s="38" t="s">
        <v>297</v>
      </c>
      <c r="C5" s="38" t="s">
        <v>323</v>
      </c>
      <c r="D5" s="38" t="s">
        <v>318</v>
      </c>
      <c r="E5" s="38" t="s">
        <v>324</v>
      </c>
      <c r="F5" s="49" t="s">
        <v>280</v>
      </c>
      <c r="G5" s="38" t="s">
        <v>325</v>
      </c>
      <c r="H5" s="38" t="s">
        <v>326</v>
      </c>
      <c r="I5" s="39"/>
      <c r="J5" s="40" t="s">
        <v>280</v>
      </c>
      <c r="K5" s="63" t="s">
        <v>327</v>
      </c>
      <c r="L5" s="63" t="s">
        <v>315</v>
      </c>
      <c r="M5" s="64">
        <v>52041.633306645323</v>
      </c>
      <c r="N5" s="64">
        <v>2550.0400320256208</v>
      </c>
      <c r="O5" s="64">
        <v>10408.326661329065</v>
      </c>
      <c r="P5" s="64">
        <v>65000.000000000015</v>
      </c>
      <c r="Q5" s="64">
        <v>0</v>
      </c>
      <c r="R5" s="64">
        <v>0</v>
      </c>
      <c r="S5" s="64">
        <v>0</v>
      </c>
      <c r="T5" s="64">
        <f t="shared" si="0"/>
        <v>65000.000000000015</v>
      </c>
    </row>
    <row r="6" spans="1:20" ht="30" x14ac:dyDescent="0.25">
      <c r="A6" s="65" t="s">
        <v>328</v>
      </c>
      <c r="B6" s="38" t="s">
        <v>297</v>
      </c>
      <c r="C6" s="38" t="s">
        <v>323</v>
      </c>
      <c r="D6" s="38" t="s">
        <v>318</v>
      </c>
      <c r="E6" s="38" t="s">
        <v>329</v>
      </c>
      <c r="F6" s="49" t="s">
        <v>280</v>
      </c>
      <c r="G6" s="38" t="s">
        <v>330</v>
      </c>
      <c r="H6" s="38" t="s">
        <v>331</v>
      </c>
      <c r="I6" s="39"/>
      <c r="J6" s="40" t="s">
        <v>280</v>
      </c>
      <c r="K6" s="63" t="s">
        <v>49</v>
      </c>
      <c r="L6" s="63" t="s">
        <v>315</v>
      </c>
      <c r="M6" s="64">
        <v>32025.620496397118</v>
      </c>
      <c r="N6" s="64">
        <v>1569.2554043234588</v>
      </c>
      <c r="O6" s="64">
        <v>6405.1240992794237</v>
      </c>
      <c r="P6" s="64">
        <v>40000</v>
      </c>
      <c r="Q6" s="64">
        <v>0</v>
      </c>
      <c r="R6" s="64">
        <v>0</v>
      </c>
      <c r="S6" s="64">
        <v>0</v>
      </c>
      <c r="T6" s="64">
        <f t="shared" si="0"/>
        <v>40000</v>
      </c>
    </row>
    <row r="7" spans="1:20" ht="45" x14ac:dyDescent="0.25">
      <c r="A7" s="65" t="s">
        <v>332</v>
      </c>
      <c r="B7" s="38" t="s">
        <v>297</v>
      </c>
      <c r="C7" s="38" t="s">
        <v>323</v>
      </c>
      <c r="D7" s="38" t="s">
        <v>318</v>
      </c>
      <c r="E7" s="38" t="s">
        <v>333</v>
      </c>
      <c r="F7" s="49" t="s">
        <v>280</v>
      </c>
      <c r="G7" s="38" t="s">
        <v>334</v>
      </c>
      <c r="H7" s="38" t="s">
        <v>335</v>
      </c>
      <c r="I7" s="39">
        <v>44035.228182546038</v>
      </c>
      <c r="J7" s="40" t="s">
        <v>280</v>
      </c>
      <c r="K7" s="63" t="s">
        <v>49</v>
      </c>
      <c r="L7" s="63" t="s">
        <v>315</v>
      </c>
      <c r="M7" s="64">
        <v>20016.012810248198</v>
      </c>
      <c r="N7" s="64">
        <v>980.78462770216174</v>
      </c>
      <c r="O7" s="64">
        <v>4003.2025620496397</v>
      </c>
      <c r="P7" s="64">
        <v>24999.999999999996</v>
      </c>
      <c r="Q7" s="64">
        <v>2157.7261809447559</v>
      </c>
      <c r="R7" s="64">
        <v>8807.0456365092086</v>
      </c>
      <c r="S7" s="64">
        <v>55000.000000000007</v>
      </c>
      <c r="T7" s="64">
        <f t="shared" si="0"/>
        <v>90964.771817453962</v>
      </c>
    </row>
    <row r="8" spans="1:20" ht="60" x14ac:dyDescent="0.25">
      <c r="A8" s="35" t="s">
        <v>336</v>
      </c>
      <c r="B8" s="28" t="s">
        <v>297</v>
      </c>
      <c r="C8" s="28" t="s">
        <v>323</v>
      </c>
      <c r="D8" s="28" t="s">
        <v>337</v>
      </c>
      <c r="E8" s="28" t="s">
        <v>338</v>
      </c>
      <c r="F8" s="30" t="s">
        <v>280</v>
      </c>
      <c r="G8" s="28" t="s">
        <v>339</v>
      </c>
      <c r="H8" s="28" t="s">
        <v>340</v>
      </c>
      <c r="I8" s="32">
        <v>48038.43074459568</v>
      </c>
      <c r="J8" s="33" t="s">
        <v>280</v>
      </c>
      <c r="K8" s="63" t="s">
        <v>49</v>
      </c>
      <c r="L8" s="63" t="s">
        <v>315</v>
      </c>
      <c r="M8" s="64"/>
      <c r="N8" s="64">
        <v>0</v>
      </c>
      <c r="O8" s="64">
        <v>0</v>
      </c>
      <c r="P8" s="64">
        <v>0</v>
      </c>
      <c r="Q8" s="64">
        <v>2353.8831064851884</v>
      </c>
      <c r="R8" s="64">
        <v>9607.686148919136</v>
      </c>
      <c r="S8" s="64">
        <v>60000.000000000007</v>
      </c>
      <c r="T8" s="64">
        <f t="shared" si="0"/>
        <v>71961.569255404334</v>
      </c>
    </row>
    <row r="9" spans="1:20" ht="15.6" x14ac:dyDescent="0.25">
      <c r="A9" s="41"/>
      <c r="B9" s="42"/>
      <c r="C9" s="43"/>
      <c r="D9" s="42"/>
      <c r="E9" s="42"/>
      <c r="F9" s="44"/>
      <c r="G9" s="45"/>
      <c r="H9" s="42"/>
      <c r="I9" s="46"/>
      <c r="J9" s="47"/>
      <c r="K9" s="67"/>
      <c r="L9" s="67"/>
      <c r="M9" s="64">
        <f>SUM(M3:M8)</f>
        <v>143220.17614091275</v>
      </c>
      <c r="N9" s="64">
        <f t="shared" ref="N9:P9" si="1">SUM(N3:N8)</f>
        <v>7017.7886309047235</v>
      </c>
      <c r="O9" s="64">
        <f t="shared" si="1"/>
        <v>28644.035228182547</v>
      </c>
      <c r="P9" s="64">
        <f t="shared" si="1"/>
        <v>178882</v>
      </c>
      <c r="Q9" s="64">
        <f>SUM(Q3:Q8)</f>
        <v>4511.6092874299447</v>
      </c>
      <c r="R9" s="64">
        <f t="shared" ref="R9:S9" si="2">SUM(R3:R8)</f>
        <v>18414.731785428346</v>
      </c>
      <c r="S9" s="64">
        <f t="shared" si="2"/>
        <v>115000.00000000001</v>
      </c>
      <c r="T9" s="64">
        <f>SUM(T3:T8)</f>
        <v>316808.34107285831</v>
      </c>
    </row>
    <row r="10" spans="1:20" ht="15.6" x14ac:dyDescent="0.25">
      <c r="A10" s="41"/>
      <c r="B10" s="42"/>
      <c r="C10" s="43"/>
      <c r="D10" s="42"/>
      <c r="E10" s="42"/>
      <c r="F10" s="44"/>
      <c r="G10" s="45"/>
      <c r="H10" s="42"/>
      <c r="I10" s="46"/>
      <c r="J10" s="47"/>
      <c r="K10" s="67"/>
      <c r="L10" s="67"/>
      <c r="Q10" s="67"/>
      <c r="R10" s="67"/>
      <c r="S10" s="67"/>
    </row>
    <row r="11" spans="1:20" ht="15.6" x14ac:dyDescent="0.25">
      <c r="A11" s="41"/>
      <c r="B11" s="42"/>
      <c r="C11" s="43"/>
      <c r="D11" s="42"/>
      <c r="E11" s="42"/>
      <c r="F11" s="44"/>
      <c r="G11" s="45"/>
      <c r="H11" s="42"/>
      <c r="I11" s="46"/>
      <c r="J11" s="47"/>
      <c r="K11" s="67"/>
      <c r="L11" s="67"/>
      <c r="Q11" s="67"/>
      <c r="R11" s="67"/>
      <c r="S11" s="67"/>
    </row>
    <row r="12" spans="1:20" ht="15.6" x14ac:dyDescent="0.25">
      <c r="A12" s="41"/>
      <c r="B12" s="42"/>
      <c r="C12" s="43"/>
      <c r="D12" s="42"/>
      <c r="E12" s="42"/>
      <c r="F12" s="44"/>
      <c r="G12" s="45"/>
      <c r="H12" s="42"/>
      <c r="I12" s="46"/>
      <c r="J12" s="47"/>
      <c r="K12" s="67"/>
      <c r="L12" s="67"/>
      <c r="Q12" s="67"/>
      <c r="R12" s="67"/>
      <c r="S12" s="67"/>
    </row>
    <row r="13" spans="1:20" ht="15.6" x14ac:dyDescent="0.25">
      <c r="A13" s="41"/>
      <c r="B13" s="42"/>
      <c r="C13" s="43"/>
      <c r="D13" s="42"/>
      <c r="E13" s="42"/>
      <c r="F13" s="44"/>
      <c r="G13" s="45"/>
      <c r="H13" s="42"/>
      <c r="I13" s="46"/>
      <c r="J13" s="47"/>
      <c r="K13" s="67"/>
      <c r="L13" s="67"/>
      <c r="Q13" s="67"/>
      <c r="R13" s="67"/>
      <c r="S13" s="67"/>
    </row>
    <row r="14" spans="1:20" ht="15.6" x14ac:dyDescent="0.25">
      <c r="A14" s="41"/>
      <c r="B14" s="42"/>
      <c r="C14" s="43"/>
      <c r="D14" s="42"/>
      <c r="E14" s="42"/>
      <c r="F14" s="44"/>
      <c r="G14" s="45"/>
      <c r="H14" s="42"/>
      <c r="I14" s="46"/>
      <c r="J14" s="47"/>
      <c r="K14" s="67"/>
      <c r="L14" s="67"/>
      <c r="Q14" s="67"/>
      <c r="R14" s="67"/>
      <c r="S14" s="67"/>
    </row>
    <row r="15" spans="1:20" ht="15.6" x14ac:dyDescent="0.25">
      <c r="A15" s="41"/>
      <c r="B15" s="42"/>
      <c r="C15" s="43"/>
      <c r="D15" s="42"/>
      <c r="E15" s="42"/>
      <c r="F15" s="44"/>
      <c r="G15" s="45"/>
      <c r="H15" s="42"/>
      <c r="I15" s="46"/>
      <c r="J15" s="47"/>
      <c r="K15" s="67"/>
      <c r="L15" s="67"/>
      <c r="Q15" s="67"/>
      <c r="R15" s="67"/>
      <c r="S15" s="67"/>
    </row>
    <row r="16" spans="1:20" ht="15.6" x14ac:dyDescent="0.25">
      <c r="A16" s="41"/>
      <c r="B16" s="42"/>
      <c r="C16" s="43"/>
      <c r="D16" s="42"/>
      <c r="E16" s="42"/>
      <c r="F16" s="44"/>
      <c r="G16" s="45"/>
      <c r="H16" s="42"/>
      <c r="I16" s="46"/>
      <c r="J16" s="47"/>
      <c r="K16" s="67"/>
      <c r="L16" s="67"/>
      <c r="Q16" s="67"/>
      <c r="R16" s="67"/>
      <c r="S16" s="67"/>
    </row>
    <row r="17" spans="1:19" ht="15.6" x14ac:dyDescent="0.25">
      <c r="A17" s="41"/>
      <c r="B17" s="42"/>
      <c r="C17" s="43"/>
      <c r="D17" s="42"/>
      <c r="E17" s="42"/>
      <c r="F17" s="44"/>
      <c r="G17" s="45"/>
      <c r="H17" s="42"/>
      <c r="I17" s="46"/>
      <c r="J17" s="47"/>
      <c r="K17" s="67"/>
      <c r="L17" s="67"/>
      <c r="Q17" s="67"/>
      <c r="R17" s="67"/>
      <c r="S17" s="67"/>
    </row>
    <row r="18" spans="1:19" ht="15.6" x14ac:dyDescent="0.25">
      <c r="A18" s="41"/>
      <c r="B18" s="42"/>
      <c r="C18" s="43"/>
      <c r="D18" s="42"/>
      <c r="E18" s="42"/>
      <c r="F18" s="44"/>
      <c r="G18" s="45"/>
      <c r="H18" s="42"/>
      <c r="I18" s="46"/>
      <c r="J18" s="47"/>
      <c r="K18" s="67"/>
      <c r="L18" s="67"/>
      <c r="Q18" s="67"/>
      <c r="R18" s="67"/>
      <c r="S18" s="67"/>
    </row>
    <row r="19" spans="1:19" ht="15.6" x14ac:dyDescent="0.25">
      <c r="A19" s="41"/>
      <c r="B19" s="42"/>
      <c r="C19" s="43"/>
      <c r="D19" s="42"/>
      <c r="E19" s="42"/>
      <c r="F19" s="44"/>
      <c r="G19" s="45"/>
      <c r="H19" s="42"/>
      <c r="I19" s="46"/>
      <c r="J19" s="47"/>
      <c r="K19" s="67"/>
      <c r="L19" s="67"/>
      <c r="Q19" s="67"/>
      <c r="R19" s="67"/>
      <c r="S19" s="67"/>
    </row>
    <row r="20" spans="1:19" ht="15.6" x14ac:dyDescent="0.25">
      <c r="A20" s="41"/>
      <c r="B20" s="42"/>
      <c r="C20" s="43"/>
      <c r="D20" s="42"/>
      <c r="E20" s="42"/>
      <c r="F20" s="44"/>
      <c r="G20" s="45"/>
      <c r="H20" s="42"/>
      <c r="I20" s="46"/>
      <c r="J20" s="47"/>
      <c r="K20" s="67"/>
      <c r="L20" s="67"/>
      <c r="Q20" s="67"/>
      <c r="R20" s="67"/>
      <c r="S20" s="67"/>
    </row>
    <row r="21" spans="1:19" ht="15.6" x14ac:dyDescent="0.25">
      <c r="A21" s="41"/>
      <c r="B21" s="42"/>
      <c r="C21" s="43"/>
      <c r="D21" s="42"/>
      <c r="E21" s="42"/>
      <c r="F21" s="44"/>
      <c r="G21" s="45"/>
      <c r="H21" s="42"/>
      <c r="I21" s="46"/>
      <c r="J21" s="47"/>
      <c r="K21" s="67"/>
      <c r="L21" s="67"/>
      <c r="Q21" s="67"/>
      <c r="R21" s="67"/>
      <c r="S21" s="67"/>
    </row>
    <row r="22" spans="1:19" ht="15.6" x14ac:dyDescent="0.25">
      <c r="A22" s="41"/>
      <c r="B22" s="42"/>
      <c r="C22" s="43"/>
      <c r="D22" s="42"/>
      <c r="E22" s="42"/>
      <c r="F22" s="44"/>
      <c r="G22" s="45"/>
      <c r="H22" s="42"/>
      <c r="I22" s="46"/>
      <c r="J22" s="47"/>
      <c r="K22" s="67"/>
      <c r="L22" s="67"/>
      <c r="Q22" s="67"/>
      <c r="R22" s="67"/>
      <c r="S22" s="67"/>
    </row>
    <row r="23" spans="1:19" ht="15.6" x14ac:dyDescent="0.25">
      <c r="A23" s="41"/>
      <c r="B23" s="42"/>
      <c r="C23" s="43"/>
      <c r="D23" s="42"/>
      <c r="E23" s="42"/>
      <c r="F23" s="44"/>
      <c r="G23" s="45"/>
      <c r="H23" s="42"/>
      <c r="I23" s="46"/>
      <c r="J23" s="47"/>
      <c r="K23" s="67"/>
      <c r="L23" s="67"/>
      <c r="Q23" s="67"/>
      <c r="R23" s="67"/>
      <c r="S23" s="67"/>
    </row>
    <row r="24" spans="1:19" ht="15.6" x14ac:dyDescent="0.25">
      <c r="A24" s="41"/>
      <c r="B24" s="42"/>
      <c r="C24" s="43"/>
      <c r="D24" s="42"/>
      <c r="E24" s="42"/>
      <c r="F24" s="44"/>
      <c r="G24" s="45"/>
      <c r="H24" s="42"/>
      <c r="I24" s="46"/>
      <c r="J24" s="47"/>
      <c r="K24" s="67"/>
      <c r="L24" s="67"/>
      <c r="Q24" s="67"/>
      <c r="R24" s="67"/>
      <c r="S24" s="67"/>
    </row>
    <row r="25" spans="1:19" ht="15.6" x14ac:dyDescent="0.25">
      <c r="A25" s="41"/>
      <c r="B25" s="42"/>
      <c r="C25" s="43"/>
      <c r="D25" s="42"/>
      <c r="E25" s="42"/>
      <c r="F25" s="44"/>
      <c r="G25" s="45"/>
      <c r="H25" s="42"/>
      <c r="I25" s="46"/>
      <c r="J25" s="47"/>
      <c r="K25" s="67"/>
      <c r="L25" s="67"/>
      <c r="Q25" s="67"/>
      <c r="R25" s="67"/>
      <c r="S25" s="67"/>
    </row>
    <row r="26" spans="1:19" ht="15.6" x14ac:dyDescent="0.25">
      <c r="A26" s="41"/>
      <c r="B26" s="42"/>
      <c r="C26" s="43"/>
      <c r="D26" s="42"/>
      <c r="E26" s="42"/>
      <c r="F26" s="44"/>
      <c r="G26" s="45"/>
      <c r="H26" s="42"/>
      <c r="I26" s="46"/>
      <c r="J26" s="47"/>
      <c r="K26" s="67"/>
      <c r="L26" s="67"/>
      <c r="Q26" s="67"/>
      <c r="R26" s="67"/>
      <c r="S26" s="67"/>
    </row>
    <row r="27" spans="1:19" ht="15.6" x14ac:dyDescent="0.25">
      <c r="A27" s="41"/>
      <c r="B27" s="42"/>
      <c r="C27" s="43"/>
      <c r="D27" s="42"/>
      <c r="E27" s="42"/>
      <c r="F27" s="44"/>
      <c r="G27" s="45"/>
      <c r="H27" s="42"/>
      <c r="I27" s="46"/>
      <c r="J27" s="47"/>
      <c r="K27" s="67"/>
      <c r="L27" s="67"/>
      <c r="Q27" s="67"/>
      <c r="R27" s="67"/>
      <c r="S27" s="67"/>
    </row>
    <row r="28" spans="1:19" ht="15.6" x14ac:dyDescent="0.25">
      <c r="A28" s="41"/>
      <c r="B28" s="42"/>
      <c r="C28" s="43"/>
      <c r="D28" s="42"/>
      <c r="E28" s="42"/>
      <c r="F28" s="44"/>
      <c r="G28" s="45"/>
      <c r="H28" s="42"/>
      <c r="I28" s="46"/>
      <c r="J28" s="47"/>
      <c r="K28" s="67"/>
      <c r="L28" s="67"/>
      <c r="Q28" s="67"/>
      <c r="R28" s="67"/>
      <c r="S28" s="67"/>
    </row>
    <row r="29" spans="1:19" ht="15.6" x14ac:dyDescent="0.25">
      <c r="A29" s="41"/>
      <c r="B29" s="42"/>
      <c r="C29" s="43"/>
      <c r="D29" s="42"/>
      <c r="E29" s="42"/>
      <c r="F29" s="44"/>
      <c r="G29" s="45"/>
      <c r="H29" s="42"/>
      <c r="I29" s="46"/>
      <c r="J29" s="47"/>
      <c r="K29" s="67"/>
      <c r="L29" s="67"/>
      <c r="Q29" s="67"/>
      <c r="R29" s="67"/>
      <c r="S29" s="67"/>
    </row>
    <row r="30" spans="1:19" ht="15.6" x14ac:dyDescent="0.25">
      <c r="A30" s="41"/>
      <c r="B30" s="42"/>
      <c r="C30" s="43"/>
      <c r="D30" s="42"/>
      <c r="E30" s="42"/>
      <c r="F30" s="44"/>
      <c r="G30" s="45"/>
      <c r="H30" s="42"/>
      <c r="I30" s="46"/>
      <c r="J30" s="47"/>
      <c r="K30" s="67"/>
      <c r="L30" s="67"/>
      <c r="Q30" s="67"/>
      <c r="R30" s="67"/>
      <c r="S30" s="67"/>
    </row>
    <row r="31" spans="1:19" ht="15.6" x14ac:dyDescent="0.25">
      <c r="A31" s="41"/>
      <c r="B31" s="42"/>
      <c r="C31" s="43"/>
      <c r="D31" s="42"/>
      <c r="E31" s="42"/>
      <c r="F31" s="44"/>
      <c r="G31" s="45"/>
      <c r="H31" s="42"/>
      <c r="I31" s="46"/>
      <c r="J31" s="47"/>
      <c r="K31" s="67"/>
      <c r="L31" s="67"/>
      <c r="Q31" s="67"/>
      <c r="R31" s="67"/>
      <c r="S31" s="67"/>
    </row>
    <row r="32" spans="1:19" ht="15.6" x14ac:dyDescent="0.25">
      <c r="A32" s="41"/>
      <c r="B32" s="42"/>
      <c r="C32" s="43"/>
      <c r="D32" s="42"/>
      <c r="E32" s="42"/>
      <c r="F32" s="44"/>
      <c r="G32" s="45"/>
      <c r="H32" s="42"/>
      <c r="I32" s="46"/>
      <c r="J32" s="47"/>
      <c r="K32" s="67"/>
      <c r="L32" s="67"/>
      <c r="Q32" s="67"/>
      <c r="R32" s="67"/>
      <c r="S32" s="67"/>
    </row>
    <row r="33" spans="1:19" ht="15.6" x14ac:dyDescent="0.25">
      <c r="A33" s="41"/>
      <c r="B33" s="42"/>
      <c r="C33" s="43"/>
      <c r="D33" s="42"/>
      <c r="E33" s="42"/>
      <c r="F33" s="44"/>
      <c r="G33" s="45"/>
      <c r="H33" s="42"/>
      <c r="I33" s="46"/>
      <c r="J33" s="47"/>
      <c r="K33" s="67"/>
      <c r="L33" s="67"/>
      <c r="Q33" s="67"/>
      <c r="R33" s="67"/>
      <c r="S33" s="67"/>
    </row>
    <row r="34" spans="1:19" ht="15.6" x14ac:dyDescent="0.25">
      <c r="A34" s="41"/>
      <c r="B34" s="42"/>
      <c r="C34" s="43"/>
      <c r="D34" s="42"/>
      <c r="E34" s="42"/>
      <c r="F34" s="44"/>
      <c r="G34" s="45"/>
      <c r="H34" s="42"/>
      <c r="I34" s="46"/>
      <c r="J34" s="47"/>
      <c r="K34" s="67"/>
      <c r="L34" s="67"/>
      <c r="Q34" s="67"/>
      <c r="R34" s="67"/>
      <c r="S34" s="67"/>
    </row>
    <row r="35" spans="1:19" ht="15.6" x14ac:dyDescent="0.25">
      <c r="A35" s="41"/>
      <c r="B35" s="42"/>
      <c r="C35" s="43"/>
      <c r="D35" s="42"/>
      <c r="E35" s="42"/>
      <c r="F35" s="44"/>
      <c r="G35" s="45"/>
      <c r="H35" s="42"/>
      <c r="I35" s="46"/>
      <c r="J35" s="47"/>
      <c r="K35" s="67"/>
      <c r="L35" s="67"/>
      <c r="Q35" s="67"/>
      <c r="R35" s="67"/>
      <c r="S35" s="67"/>
    </row>
    <row r="36" spans="1:19" ht="15.6" x14ac:dyDescent="0.25">
      <c r="A36" s="41"/>
      <c r="B36" s="42"/>
      <c r="C36" s="43"/>
      <c r="D36" s="42"/>
      <c r="E36" s="42"/>
      <c r="F36" s="44"/>
      <c r="G36" s="45"/>
      <c r="H36" s="42"/>
      <c r="I36" s="46"/>
      <c r="J36" s="47"/>
      <c r="K36" s="67"/>
      <c r="L36" s="67"/>
      <c r="Q36" s="67"/>
      <c r="R36" s="67"/>
      <c r="S36" s="67"/>
    </row>
  </sheetData>
  <hyperlinks>
    <hyperlink ref="D1" location="'Spend Overview'!A1" display="OVERVIEW" xr:uid="{17F2061C-D072-494A-A0D0-4D74AD8DDE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637-31A9-4587-B2E8-FA775052DD35}">
  <dimension ref="A1:Q22"/>
  <sheetViews>
    <sheetView zoomScaleNormal="100" workbookViewId="0">
      <selection sqref="A1:B1"/>
    </sheetView>
  </sheetViews>
  <sheetFormatPr defaultRowHeight="15" x14ac:dyDescent="0.25"/>
  <cols>
    <col min="2" max="2" width="50.08984375" customWidth="1"/>
    <col min="3" max="3" width="109" customWidth="1"/>
    <col min="4" max="4" width="26.453125" customWidth="1"/>
    <col min="7" max="7" width="16.6328125" customWidth="1"/>
    <col min="11" max="11" width="11" bestFit="1" customWidth="1"/>
    <col min="12" max="13" width="11.453125" bestFit="1" customWidth="1"/>
    <col min="14" max="14" width="10.6328125" bestFit="1" customWidth="1"/>
    <col min="15" max="15" width="12" bestFit="1" customWidth="1"/>
    <col min="16" max="16" width="20.08984375" bestFit="1" customWidth="1"/>
    <col min="17" max="17" width="18.453125" bestFit="1" customWidth="1"/>
  </cols>
  <sheetData>
    <row r="1" spans="1:17" ht="31.2" customHeight="1" x14ac:dyDescent="0.25">
      <c r="A1" s="132" t="s">
        <v>555</v>
      </c>
      <c r="B1" s="133"/>
    </row>
    <row r="2" spans="1:17" ht="27.6" x14ac:dyDescent="0.25">
      <c r="A2" s="78" t="s">
        <v>341</v>
      </c>
      <c r="B2" s="78" t="s">
        <v>342</v>
      </c>
      <c r="C2" s="79" t="s">
        <v>343</v>
      </c>
      <c r="D2" s="78" t="s">
        <v>344</v>
      </c>
      <c r="E2" s="78" t="s">
        <v>345</v>
      </c>
      <c r="F2" s="78" t="s">
        <v>346</v>
      </c>
      <c r="G2" s="80" t="s">
        <v>347</v>
      </c>
      <c r="H2" s="80" t="s">
        <v>348</v>
      </c>
      <c r="I2" s="80" t="s">
        <v>349</v>
      </c>
      <c r="J2" s="80" t="s">
        <v>350</v>
      </c>
      <c r="K2" s="77" t="s">
        <v>351</v>
      </c>
      <c r="L2" s="77" t="s">
        <v>352</v>
      </c>
      <c r="M2" s="77" t="s">
        <v>353</v>
      </c>
      <c r="N2" s="77" t="s">
        <v>354</v>
      </c>
      <c r="O2" s="77" t="s">
        <v>355</v>
      </c>
      <c r="P2" s="76" t="s">
        <v>32</v>
      </c>
      <c r="Q2" s="77" t="s">
        <v>356</v>
      </c>
    </row>
    <row r="3" spans="1:17" ht="26.4" x14ac:dyDescent="0.25">
      <c r="A3" s="5" t="s">
        <v>357</v>
      </c>
      <c r="B3" s="5" t="s">
        <v>358</v>
      </c>
      <c r="C3" s="5" t="s">
        <v>359</v>
      </c>
      <c r="D3" s="5" t="s">
        <v>360</v>
      </c>
      <c r="E3" s="5" t="s">
        <v>361</v>
      </c>
      <c r="F3" s="5" t="s">
        <v>284</v>
      </c>
      <c r="G3" s="5" t="s">
        <v>362</v>
      </c>
      <c r="H3" s="5"/>
      <c r="I3" s="5"/>
      <c r="J3" s="5" t="s">
        <v>357</v>
      </c>
      <c r="K3" s="10">
        <v>49000</v>
      </c>
      <c r="L3" s="10"/>
      <c r="M3" s="10"/>
      <c r="N3" s="10">
        <v>4866.01</v>
      </c>
      <c r="O3" s="10"/>
      <c r="P3" s="10"/>
      <c r="Q3" s="10">
        <f t="shared" ref="Q3:Q8" si="0">SUM(K3:O3)</f>
        <v>53866.01</v>
      </c>
    </row>
    <row r="4" spans="1:17" ht="26.4" x14ac:dyDescent="0.25">
      <c r="A4" s="5" t="s">
        <v>363</v>
      </c>
      <c r="B4" s="5" t="s">
        <v>364</v>
      </c>
      <c r="C4" s="5" t="s">
        <v>365</v>
      </c>
      <c r="D4" s="5" t="s">
        <v>366</v>
      </c>
      <c r="E4" s="5" t="s">
        <v>361</v>
      </c>
      <c r="F4" s="5" t="s">
        <v>284</v>
      </c>
      <c r="G4" s="5" t="s">
        <v>367</v>
      </c>
      <c r="H4" s="5"/>
      <c r="I4" s="5"/>
      <c r="J4" s="5"/>
      <c r="K4" s="10">
        <f>50000*0.15</f>
        <v>7500</v>
      </c>
      <c r="L4" s="10"/>
      <c r="M4" s="10"/>
      <c r="N4" s="10"/>
      <c r="O4" s="10"/>
      <c r="P4" s="10"/>
      <c r="Q4" s="10">
        <f t="shared" si="0"/>
        <v>7500</v>
      </c>
    </row>
    <row r="5" spans="1:17" ht="26.4" x14ac:dyDescent="0.25">
      <c r="A5" s="5" t="s">
        <v>368</v>
      </c>
      <c r="B5" s="5" t="s">
        <v>369</v>
      </c>
      <c r="C5" s="5" t="s">
        <v>370</v>
      </c>
      <c r="D5" s="5" t="s">
        <v>371</v>
      </c>
      <c r="E5" s="5" t="s">
        <v>361</v>
      </c>
      <c r="F5" s="5" t="s">
        <v>372</v>
      </c>
      <c r="G5" s="5" t="s">
        <v>367</v>
      </c>
      <c r="H5" s="5"/>
      <c r="I5" s="5"/>
      <c r="J5" s="5"/>
      <c r="K5" s="10">
        <f>45000*0.15</f>
        <v>6750</v>
      </c>
      <c r="L5" s="10"/>
      <c r="M5" s="10"/>
      <c r="N5" s="10"/>
      <c r="O5" s="10"/>
      <c r="P5" s="10"/>
      <c r="Q5" s="10">
        <f t="shared" si="0"/>
        <v>6750</v>
      </c>
    </row>
    <row r="6" spans="1:17" ht="39.6" x14ac:dyDescent="0.25">
      <c r="A6" s="5" t="s">
        <v>373</v>
      </c>
      <c r="B6" s="5" t="s">
        <v>374</v>
      </c>
      <c r="C6" s="5" t="s">
        <v>375</v>
      </c>
      <c r="D6" s="5" t="s">
        <v>376</v>
      </c>
      <c r="E6" s="5" t="s">
        <v>377</v>
      </c>
      <c r="F6" s="5"/>
      <c r="G6" s="5" t="s">
        <v>378</v>
      </c>
      <c r="H6" s="5"/>
      <c r="I6" s="5"/>
      <c r="J6" s="5"/>
      <c r="K6" s="10"/>
      <c r="L6" s="10">
        <v>25000</v>
      </c>
      <c r="M6" s="10"/>
      <c r="N6" s="10"/>
      <c r="O6" s="10"/>
      <c r="P6" s="10"/>
      <c r="Q6" s="10">
        <f t="shared" si="0"/>
        <v>25000</v>
      </c>
    </row>
    <row r="7" spans="1:17" ht="39.6" x14ac:dyDescent="0.25">
      <c r="A7" s="5" t="s">
        <v>379</v>
      </c>
      <c r="B7" s="5" t="s">
        <v>380</v>
      </c>
      <c r="C7" s="5" t="s">
        <v>381</v>
      </c>
      <c r="D7" s="5" t="s">
        <v>376</v>
      </c>
      <c r="E7" s="5" t="s">
        <v>377</v>
      </c>
      <c r="F7" s="5"/>
      <c r="G7" s="5" t="s">
        <v>378</v>
      </c>
      <c r="H7" s="5"/>
      <c r="I7" s="5"/>
      <c r="J7" s="5"/>
      <c r="K7" s="10"/>
      <c r="L7" s="10">
        <v>5000</v>
      </c>
      <c r="M7" s="10"/>
      <c r="N7" s="10"/>
      <c r="O7" s="10"/>
      <c r="P7" s="10"/>
      <c r="Q7" s="10">
        <f t="shared" si="0"/>
        <v>5000</v>
      </c>
    </row>
    <row r="8" spans="1:17" ht="39.6" x14ac:dyDescent="0.25">
      <c r="A8" s="5" t="s">
        <v>382</v>
      </c>
      <c r="B8" s="5" t="s">
        <v>383</v>
      </c>
      <c r="C8" s="5" t="s">
        <v>384</v>
      </c>
      <c r="D8" s="5" t="s">
        <v>385</v>
      </c>
      <c r="E8" s="5" t="s">
        <v>386</v>
      </c>
      <c r="F8" s="5" t="s">
        <v>284</v>
      </c>
      <c r="G8" s="5" t="s">
        <v>387</v>
      </c>
      <c r="H8" s="5"/>
      <c r="I8" s="5"/>
      <c r="J8" s="5" t="s">
        <v>388</v>
      </c>
      <c r="K8" s="10"/>
      <c r="L8" s="10">
        <v>50000</v>
      </c>
      <c r="M8" s="10">
        <v>50000</v>
      </c>
      <c r="N8" s="10"/>
      <c r="O8" s="10"/>
      <c r="P8" s="10"/>
      <c r="Q8" s="10">
        <f t="shared" si="0"/>
        <v>100000</v>
      </c>
    </row>
    <row r="9" spans="1:17" x14ac:dyDescent="0.25">
      <c r="A9" s="5" t="s">
        <v>389</v>
      </c>
      <c r="B9" s="5" t="s">
        <v>390</v>
      </c>
      <c r="C9" s="5" t="s">
        <v>391</v>
      </c>
      <c r="D9" s="5" t="s">
        <v>360</v>
      </c>
      <c r="E9" s="5" t="s">
        <v>361</v>
      </c>
      <c r="F9" s="5" t="s">
        <v>372</v>
      </c>
      <c r="G9" s="5" t="s">
        <v>362</v>
      </c>
      <c r="H9" s="5"/>
      <c r="I9" s="5"/>
      <c r="J9" s="5" t="s">
        <v>392</v>
      </c>
      <c r="K9" s="10"/>
      <c r="L9" s="10"/>
      <c r="M9" s="10">
        <v>18000</v>
      </c>
      <c r="N9" s="10"/>
      <c r="O9" s="10"/>
      <c r="P9" s="10"/>
      <c r="Q9" s="10">
        <f t="shared" ref="Q9:Q12" si="1">SUM(K9:O9)</f>
        <v>18000</v>
      </c>
    </row>
    <row r="10" spans="1:17" x14ac:dyDescent="0.25">
      <c r="A10" s="5" t="s">
        <v>393</v>
      </c>
      <c r="B10" s="5" t="s">
        <v>394</v>
      </c>
      <c r="C10" s="5" t="s">
        <v>395</v>
      </c>
      <c r="D10" s="5" t="s">
        <v>360</v>
      </c>
      <c r="E10" s="5" t="s">
        <v>361</v>
      </c>
      <c r="F10" s="5" t="s">
        <v>372</v>
      </c>
      <c r="G10" s="5" t="s">
        <v>362</v>
      </c>
      <c r="H10" s="5"/>
      <c r="I10" s="5"/>
      <c r="J10" s="5" t="s">
        <v>392</v>
      </c>
      <c r="K10" s="10"/>
      <c r="L10" s="10"/>
      <c r="M10" s="10">
        <v>12000</v>
      </c>
      <c r="N10" s="10"/>
      <c r="O10" s="10"/>
      <c r="P10" s="10"/>
      <c r="Q10" s="10">
        <f t="shared" si="1"/>
        <v>12000</v>
      </c>
    </row>
    <row r="11" spans="1:17" ht="52.8" x14ac:dyDescent="0.25">
      <c r="A11" s="5" t="s">
        <v>396</v>
      </c>
      <c r="B11" s="5" t="s">
        <v>397</v>
      </c>
      <c r="C11" s="5" t="s">
        <v>398</v>
      </c>
      <c r="D11" s="5" t="s">
        <v>399</v>
      </c>
      <c r="E11" s="5" t="s">
        <v>400</v>
      </c>
      <c r="F11" s="5" t="s">
        <v>401</v>
      </c>
      <c r="G11" s="5" t="s">
        <v>402</v>
      </c>
      <c r="H11" s="5"/>
      <c r="I11" s="5"/>
      <c r="J11" s="5" t="s">
        <v>396</v>
      </c>
      <c r="K11" s="10"/>
      <c r="L11" s="10"/>
      <c r="M11" s="10"/>
      <c r="N11" s="10">
        <v>10000</v>
      </c>
      <c r="O11" s="10"/>
      <c r="P11" s="10"/>
      <c r="Q11" s="10">
        <f>SUM(K11:O11)</f>
        <v>10000</v>
      </c>
    </row>
    <row r="12" spans="1:17" ht="39.6" x14ac:dyDescent="0.25">
      <c r="A12" s="5" t="s">
        <v>403</v>
      </c>
      <c r="B12" s="5" t="s">
        <v>404</v>
      </c>
      <c r="C12" s="5" t="s">
        <v>405</v>
      </c>
      <c r="D12" s="5" t="s">
        <v>406</v>
      </c>
      <c r="E12" s="5" t="s">
        <v>386</v>
      </c>
      <c r="F12" s="5" t="s">
        <v>284</v>
      </c>
      <c r="G12" s="5" t="s">
        <v>407</v>
      </c>
      <c r="H12" s="5"/>
      <c r="I12" s="5"/>
      <c r="J12" s="5" t="s">
        <v>403</v>
      </c>
      <c r="K12" s="10"/>
      <c r="L12" s="10"/>
      <c r="M12" s="10"/>
      <c r="N12" s="10">
        <v>15000</v>
      </c>
      <c r="O12" s="10"/>
      <c r="P12" s="10"/>
      <c r="Q12" s="10">
        <f t="shared" si="1"/>
        <v>15000</v>
      </c>
    </row>
    <row r="13" spans="1:17" ht="26.4" x14ac:dyDescent="0.25">
      <c r="A13" s="5" t="s">
        <v>408</v>
      </c>
      <c r="B13" s="5" t="s">
        <v>409</v>
      </c>
      <c r="C13" s="5" t="s">
        <v>410</v>
      </c>
      <c r="D13" s="5" t="str">
        <f>VLOOKUP(A13,'[1]Everything raw'!$A$9:$BJ$47,11,0)</f>
        <v>District Wide</v>
      </c>
      <c r="E13" s="5" t="str">
        <f>VLOOKUP(A13,'[1]Everything raw'!$A$9:$BJ$47,12,0)</f>
        <v>District Wide</v>
      </c>
      <c r="F13" s="5" t="s">
        <v>401</v>
      </c>
      <c r="G13" s="5" t="s">
        <v>402</v>
      </c>
      <c r="H13" s="5"/>
      <c r="I13" s="5"/>
      <c r="J13" s="5" t="s">
        <v>411</v>
      </c>
      <c r="K13" s="10"/>
      <c r="L13" s="10"/>
      <c r="M13" s="10"/>
      <c r="N13" s="10">
        <v>0</v>
      </c>
      <c r="O13" s="10">
        <v>10000</v>
      </c>
      <c r="P13" s="10">
        <f t="shared" ref="P13:P20" si="2">O13*0.049</f>
        <v>490</v>
      </c>
      <c r="Q13" s="10">
        <f t="shared" ref="Q13:Q20" si="3">SUM(K13:O13)</f>
        <v>10000</v>
      </c>
    </row>
    <row r="14" spans="1:17" ht="26.4" x14ac:dyDescent="0.25">
      <c r="A14" s="5" t="s">
        <v>412</v>
      </c>
      <c r="B14" s="5" t="s">
        <v>413</v>
      </c>
      <c r="C14" s="5" t="s">
        <v>414</v>
      </c>
      <c r="D14" s="5" t="s">
        <v>360</v>
      </c>
      <c r="E14" s="5" t="s">
        <v>360</v>
      </c>
      <c r="F14" s="5" t="s">
        <v>372</v>
      </c>
      <c r="G14" s="5" t="s">
        <v>415</v>
      </c>
      <c r="H14" s="5"/>
      <c r="I14" s="5"/>
      <c r="J14" s="5" t="s">
        <v>412</v>
      </c>
      <c r="K14" s="10"/>
      <c r="L14" s="10"/>
      <c r="M14" s="10"/>
      <c r="N14" s="10">
        <v>0</v>
      </c>
      <c r="O14" s="10">
        <v>10000</v>
      </c>
      <c r="P14" s="10">
        <f t="shared" si="2"/>
        <v>490</v>
      </c>
      <c r="Q14" s="10">
        <f t="shared" si="3"/>
        <v>10000</v>
      </c>
    </row>
    <row r="15" spans="1:17" ht="52.8" x14ac:dyDescent="0.25">
      <c r="A15" s="5" t="s">
        <v>372</v>
      </c>
      <c r="B15" s="5" t="s">
        <v>416</v>
      </c>
      <c r="C15" s="5" t="s">
        <v>417</v>
      </c>
      <c r="D15" s="5" t="s">
        <v>399</v>
      </c>
      <c r="E15" s="5" t="s">
        <v>400</v>
      </c>
      <c r="F15" s="5" t="s">
        <v>401</v>
      </c>
      <c r="G15" s="5" t="s">
        <v>402</v>
      </c>
      <c r="H15" s="5"/>
      <c r="I15" s="5"/>
      <c r="J15" s="5" t="s">
        <v>396</v>
      </c>
      <c r="K15" s="10"/>
      <c r="L15" s="10"/>
      <c r="M15" s="10"/>
      <c r="N15" s="10"/>
      <c r="O15" s="10">
        <v>30000</v>
      </c>
      <c r="P15" s="10">
        <f t="shared" si="2"/>
        <v>1470</v>
      </c>
      <c r="Q15" s="10">
        <f t="shared" si="3"/>
        <v>30000</v>
      </c>
    </row>
    <row r="16" spans="1:17" ht="26.4" x14ac:dyDescent="0.25">
      <c r="A16" s="5" t="s">
        <v>418</v>
      </c>
      <c r="B16" s="5" t="s">
        <v>419</v>
      </c>
      <c r="C16" s="5" t="s">
        <v>420</v>
      </c>
      <c r="D16" s="5" t="s">
        <v>360</v>
      </c>
      <c r="E16" s="5" t="s">
        <v>386</v>
      </c>
      <c r="F16" s="5"/>
      <c r="G16" s="5" t="s">
        <v>362</v>
      </c>
      <c r="H16" s="5"/>
      <c r="I16" s="5"/>
      <c r="J16" s="5"/>
      <c r="K16" s="10"/>
      <c r="L16" s="10"/>
      <c r="M16" s="10"/>
      <c r="N16" s="10"/>
      <c r="O16" s="10">
        <v>6000</v>
      </c>
      <c r="P16" s="10">
        <f t="shared" si="2"/>
        <v>294</v>
      </c>
      <c r="Q16" s="10">
        <f t="shared" si="3"/>
        <v>6000</v>
      </c>
    </row>
    <row r="17" spans="1:17" ht="26.4" x14ac:dyDescent="0.25">
      <c r="A17" s="5" t="s">
        <v>421</v>
      </c>
      <c r="B17" s="5" t="s">
        <v>419</v>
      </c>
      <c r="C17" s="5" t="s">
        <v>422</v>
      </c>
      <c r="D17" s="5" t="s">
        <v>360</v>
      </c>
      <c r="E17" s="5" t="s">
        <v>386</v>
      </c>
      <c r="F17" s="5"/>
      <c r="G17" s="5" t="s">
        <v>362</v>
      </c>
      <c r="H17" s="5"/>
      <c r="I17" s="5"/>
      <c r="J17" s="5"/>
      <c r="K17" s="10"/>
      <c r="L17" s="10"/>
      <c r="M17" s="10"/>
      <c r="N17" s="10"/>
      <c r="O17" s="10">
        <v>8000</v>
      </c>
      <c r="P17" s="10">
        <f t="shared" si="2"/>
        <v>392</v>
      </c>
      <c r="Q17" s="10">
        <f t="shared" si="3"/>
        <v>8000</v>
      </c>
    </row>
    <row r="18" spans="1:17" ht="39.6" x14ac:dyDescent="0.25">
      <c r="A18" s="5" t="s">
        <v>423</v>
      </c>
      <c r="B18" s="5" t="s">
        <v>424</v>
      </c>
      <c r="C18" s="5" t="s">
        <v>425</v>
      </c>
      <c r="D18" s="5" t="s">
        <v>360</v>
      </c>
      <c r="E18" s="5" t="s">
        <v>426</v>
      </c>
      <c r="F18" s="5"/>
      <c r="G18" s="5" t="s">
        <v>415</v>
      </c>
      <c r="H18" s="5"/>
      <c r="I18" s="5"/>
      <c r="J18" s="5"/>
      <c r="K18" s="10"/>
      <c r="L18" s="10"/>
      <c r="M18" s="10"/>
      <c r="N18" s="10"/>
      <c r="O18" s="10">
        <v>10000</v>
      </c>
      <c r="P18" s="10">
        <f t="shared" si="2"/>
        <v>490</v>
      </c>
      <c r="Q18" s="10">
        <f t="shared" si="3"/>
        <v>10000</v>
      </c>
    </row>
    <row r="19" spans="1:17" ht="26.4" x14ac:dyDescent="0.25">
      <c r="A19" s="5" t="s">
        <v>427</v>
      </c>
      <c r="B19" s="5" t="s">
        <v>428</v>
      </c>
      <c r="C19" s="5" t="s">
        <v>429</v>
      </c>
      <c r="D19" s="5" t="s">
        <v>430</v>
      </c>
      <c r="E19" s="5" t="s">
        <v>430</v>
      </c>
      <c r="F19" s="5" t="s">
        <v>431</v>
      </c>
      <c r="G19" s="5" t="s">
        <v>378</v>
      </c>
      <c r="H19" s="5"/>
      <c r="I19" s="5"/>
      <c r="J19" s="5" t="s">
        <v>432</v>
      </c>
      <c r="K19" s="10"/>
      <c r="L19" s="10"/>
      <c r="M19" s="10"/>
      <c r="N19" s="10"/>
      <c r="O19" s="10">
        <v>10000</v>
      </c>
      <c r="P19" s="10">
        <f t="shared" si="2"/>
        <v>490</v>
      </c>
      <c r="Q19" s="10">
        <f t="shared" si="3"/>
        <v>10000</v>
      </c>
    </row>
    <row r="20" spans="1:17" ht="26.4" x14ac:dyDescent="0.25">
      <c r="A20" s="5" t="s">
        <v>433</v>
      </c>
      <c r="B20" s="5" t="s">
        <v>434</v>
      </c>
      <c r="C20" s="5" t="s">
        <v>435</v>
      </c>
      <c r="D20" s="5" t="s">
        <v>436</v>
      </c>
      <c r="E20" s="5" t="s">
        <v>426</v>
      </c>
      <c r="F20" s="5"/>
      <c r="G20" s="5" t="s">
        <v>437</v>
      </c>
      <c r="H20" s="5"/>
      <c r="I20" s="5"/>
      <c r="J20" s="5" t="s">
        <v>438</v>
      </c>
      <c r="K20" s="10"/>
      <c r="L20" s="10"/>
      <c r="M20" s="10"/>
      <c r="N20" s="10"/>
      <c r="O20" s="10">
        <v>20000</v>
      </c>
      <c r="P20" s="10">
        <f t="shared" si="2"/>
        <v>980</v>
      </c>
      <c r="Q20" s="10">
        <f t="shared" si="3"/>
        <v>20000</v>
      </c>
    </row>
    <row r="21" spans="1:17" x14ac:dyDescent="0.25">
      <c r="A21" s="5" t="s">
        <v>372</v>
      </c>
      <c r="B21" s="5" t="s">
        <v>439</v>
      </c>
      <c r="C21" s="5" t="s">
        <v>440</v>
      </c>
      <c r="D21" s="5"/>
      <c r="E21" s="5"/>
      <c r="F21" s="5" t="s">
        <v>401</v>
      </c>
      <c r="G21" s="5" t="s">
        <v>441</v>
      </c>
      <c r="H21" s="5"/>
      <c r="I21" s="5"/>
      <c r="J21" s="5"/>
      <c r="K21" s="10"/>
      <c r="L21" s="10" t="s">
        <v>372</v>
      </c>
      <c r="M21" s="10"/>
      <c r="N21" s="10"/>
      <c r="O21" s="10"/>
      <c r="P21" s="10"/>
      <c r="Q21" s="10"/>
    </row>
    <row r="22" spans="1:17" x14ac:dyDescent="0.25">
      <c r="A22" s="75"/>
      <c r="B22" s="75"/>
      <c r="C22" s="75"/>
      <c r="D22" s="75"/>
      <c r="E22" s="75"/>
      <c r="G22" s="75"/>
      <c r="H22" s="75"/>
      <c r="I22" s="75"/>
      <c r="J22" s="75"/>
      <c r="K22" s="10">
        <f t="shared" ref="K22:Q22" si="4">SUM(K3:K21)</f>
        <v>63250</v>
      </c>
      <c r="L22" s="10">
        <f t="shared" si="4"/>
        <v>80000</v>
      </c>
      <c r="M22" s="10">
        <f t="shared" si="4"/>
        <v>80000</v>
      </c>
      <c r="N22" s="10">
        <f t="shared" si="4"/>
        <v>29866.010000000002</v>
      </c>
      <c r="O22" s="10">
        <f t="shared" si="4"/>
        <v>104000</v>
      </c>
      <c r="P22" s="10">
        <f t="shared" si="4"/>
        <v>5096</v>
      </c>
      <c r="Q22" s="10">
        <f t="shared" si="4"/>
        <v>357116.01</v>
      </c>
    </row>
  </sheetData>
  <mergeCells count="1">
    <mergeCell ref="A1:B1"/>
  </mergeCells>
  <conditionalFormatting sqref="H6 A6:F7 A18:F18">
    <cfRule type="expression" dxfId="4" priority="10">
      <formula>$W6="Delivered"</formula>
    </cfRule>
    <cfRule type="expression" dxfId="3" priority="11">
      <formula>$W6="Progress to Stage 6: Delivery"</formula>
    </cfRule>
    <cfRule type="expression" dxfId="2" priority="12">
      <formula>$W6="Progress to Stage 5: Design"</formula>
    </cfRule>
    <cfRule type="expression" dxfId="1" priority="13">
      <formula>$W6="Progress to Stage 4: Scheme preparation"</formula>
    </cfRule>
    <cfRule type="expression" dxfId="0" priority="14">
      <formula>$W6="Do not progress"</formula>
    </cfRule>
  </conditionalFormatting>
  <dataValidations count="2">
    <dataValidation type="list" showInputMessage="1" showErrorMessage="1" errorTitle="Parish selection needed" error="Please select a parish from the drop down list, using the North Somerset Parish Map if required." promptTitle="Parish" prompt="Please select a parish from the drop down list, using the North Somerset Parish Map if required." sqref="E16:F17" xr:uid="{E18F7533-A241-4676-9964-E52A3AA948E5}">
      <formula1>$BF$10:$BF$50</formula1>
    </dataValidation>
    <dataValidation type="list" showInputMessage="1" showErrorMessage="1" errorTitle="Invalid entry!" error="Please select a ward from the drop-down list, after using the North Somerset ward map provided if required." promptTitle="Ward(s)" prompt="Please select a ward from the drop-down list, after using the North Somerset ward map provided if required." sqref="D16:D17" xr:uid="{2E2CED7C-F31E-4C36-8329-307E1BF2A4F2}">
      <formula1>$BE$6:$BE$47</formula1>
    </dataValidation>
  </dataValidations>
  <hyperlinks>
    <hyperlink ref="J13" r:id="rId1" xr:uid="{063E6A99-B1C1-42E8-AFDD-7631C08BC521}"/>
    <hyperlink ref="J19" r:id="rId2" xr:uid="{2DC84309-D767-4A4F-8AAC-D4ED56E63080}"/>
    <hyperlink ref="A1" location="'Spend Overview'!A1" display="OVERVIEW" xr:uid="{C1A344BB-46E9-46E2-9AE1-AFB38EB229F4}"/>
  </hyperlinks>
  <pageMargins left="0.7" right="0.7" top="0.75" bottom="0.75" header="0.3" footer="0.3"/>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F532-3647-42FC-9754-CE3ED203EA9F}">
  <dimension ref="A1:O28"/>
  <sheetViews>
    <sheetView tabSelected="1" zoomScaleNormal="100" workbookViewId="0">
      <selection activeCell="A7" sqref="A7"/>
    </sheetView>
  </sheetViews>
  <sheetFormatPr defaultRowHeight="15" x14ac:dyDescent="0.25"/>
  <cols>
    <col min="1" max="1" width="15.36328125" customWidth="1"/>
    <col min="2" max="2" width="38.453125" customWidth="1"/>
    <col min="3" max="3" width="86.6328125" customWidth="1"/>
    <col min="4" max="4" width="29.453125" customWidth="1"/>
    <col min="5" max="5" width="24" customWidth="1"/>
    <col min="11" max="11" width="8.6328125" bestFit="1" customWidth="1"/>
    <col min="12" max="12" width="16.90625" customWidth="1"/>
    <col min="13" max="13" width="12" bestFit="1" customWidth="1"/>
    <col min="14" max="14" width="11" bestFit="1" customWidth="1"/>
    <col min="15" max="15" width="13.90625" customWidth="1"/>
  </cols>
  <sheetData>
    <row r="1" spans="1:15" ht="15.6" x14ac:dyDescent="0.25">
      <c r="A1" s="132" t="s">
        <v>555</v>
      </c>
      <c r="B1" s="133"/>
    </row>
    <row r="2" spans="1:15" ht="27.6" x14ac:dyDescent="0.25">
      <c r="A2" s="78" t="s">
        <v>341</v>
      </c>
      <c r="B2" s="78" t="s">
        <v>342</v>
      </c>
      <c r="C2" s="79" t="s">
        <v>343</v>
      </c>
      <c r="D2" s="78" t="s">
        <v>344</v>
      </c>
      <c r="E2" s="78" t="s">
        <v>345</v>
      </c>
      <c r="F2" s="78" t="s">
        <v>442</v>
      </c>
      <c r="G2" s="80" t="s">
        <v>347</v>
      </c>
      <c r="H2" s="80" t="s">
        <v>348</v>
      </c>
      <c r="I2" s="80" t="s">
        <v>349</v>
      </c>
      <c r="J2" s="80" t="s">
        <v>350</v>
      </c>
      <c r="K2" s="77" t="s">
        <v>353</v>
      </c>
      <c r="L2" s="77" t="s">
        <v>443</v>
      </c>
      <c r="M2" s="77" t="s">
        <v>444</v>
      </c>
      <c r="N2" s="77" t="s">
        <v>32</v>
      </c>
      <c r="O2" s="77" t="s">
        <v>445</v>
      </c>
    </row>
    <row r="3" spans="1:15" ht="26.4" x14ac:dyDescent="0.25">
      <c r="A3" s="5" t="s">
        <v>446</v>
      </c>
      <c r="B3" s="5" t="s">
        <v>447</v>
      </c>
      <c r="C3" s="5" t="s">
        <v>448</v>
      </c>
      <c r="D3" s="5"/>
      <c r="E3" s="5"/>
      <c r="F3" s="5" t="s">
        <v>284</v>
      </c>
      <c r="G3" s="5" t="s">
        <v>387</v>
      </c>
      <c r="H3" s="5"/>
      <c r="I3" s="5"/>
      <c r="J3" s="5"/>
      <c r="K3" s="10">
        <v>165000</v>
      </c>
      <c r="L3" s="10"/>
      <c r="M3" s="10"/>
      <c r="N3" s="10"/>
      <c r="O3" s="10">
        <f>K3</f>
        <v>165000</v>
      </c>
    </row>
    <row r="4" spans="1:15" ht="39.6" x14ac:dyDescent="0.25">
      <c r="A4" s="5" t="s">
        <v>449</v>
      </c>
      <c r="B4" s="5" t="s">
        <v>450</v>
      </c>
      <c r="C4" s="5" t="s">
        <v>451</v>
      </c>
      <c r="D4" s="5"/>
      <c r="E4" s="5"/>
      <c r="F4" s="5" t="s">
        <v>401</v>
      </c>
      <c r="G4" s="5"/>
      <c r="H4" s="5"/>
      <c r="I4" s="5"/>
      <c r="J4" s="5"/>
      <c r="K4" s="10"/>
      <c r="L4" s="10">
        <v>26090</v>
      </c>
      <c r="M4" s="10"/>
      <c r="N4" s="10"/>
      <c r="O4" s="10">
        <f t="shared" ref="O4:O6" si="0">SUM(L4:N4)</f>
        <v>26090</v>
      </c>
    </row>
    <row r="5" spans="1:15" ht="26.4" x14ac:dyDescent="0.25">
      <c r="A5" s="5" t="s">
        <v>452</v>
      </c>
      <c r="B5" s="5" t="s">
        <v>453</v>
      </c>
      <c r="C5" s="5" t="s">
        <v>454</v>
      </c>
      <c r="D5" s="5"/>
      <c r="E5" s="5"/>
      <c r="F5" s="5" t="s">
        <v>372</v>
      </c>
      <c r="G5" s="5" t="s">
        <v>378</v>
      </c>
      <c r="H5" s="5"/>
      <c r="I5" s="5"/>
      <c r="J5" s="5"/>
      <c r="K5" s="10"/>
      <c r="L5" s="10">
        <v>10000</v>
      </c>
      <c r="M5" s="10"/>
      <c r="N5" s="10"/>
      <c r="O5" s="10">
        <f t="shared" si="0"/>
        <v>10000</v>
      </c>
    </row>
    <row r="6" spans="1:15" ht="26.4" x14ac:dyDescent="0.25">
      <c r="A6" s="5" t="s">
        <v>455</v>
      </c>
      <c r="B6" s="5" t="s">
        <v>456</v>
      </c>
      <c r="C6" s="5" t="s">
        <v>457</v>
      </c>
      <c r="D6" s="5"/>
      <c r="E6" s="5"/>
      <c r="F6" s="5" t="s">
        <v>458</v>
      </c>
      <c r="G6" s="5" t="s">
        <v>378</v>
      </c>
      <c r="H6" s="5"/>
      <c r="I6" s="5"/>
      <c r="J6" s="5"/>
      <c r="K6" s="10"/>
      <c r="L6" s="10">
        <v>30000</v>
      </c>
      <c r="M6" s="10"/>
      <c r="N6" s="10"/>
      <c r="O6" s="10">
        <f t="shared" si="0"/>
        <v>30000</v>
      </c>
    </row>
    <row r="7" spans="1:15" ht="26.4" x14ac:dyDescent="0.25">
      <c r="A7" s="5" t="s">
        <v>459</v>
      </c>
      <c r="B7" s="5" t="s">
        <v>460</v>
      </c>
      <c r="C7" s="5" t="s">
        <v>461</v>
      </c>
      <c r="D7" s="5"/>
      <c r="E7" s="5"/>
      <c r="F7" s="5" t="s">
        <v>458</v>
      </c>
      <c r="G7" s="5" t="s">
        <v>378</v>
      </c>
      <c r="H7" s="5"/>
      <c r="I7" s="5"/>
      <c r="J7" s="5"/>
      <c r="K7" s="10"/>
      <c r="L7" s="10">
        <v>38000</v>
      </c>
      <c r="M7" s="10"/>
      <c r="N7" s="10"/>
      <c r="O7" s="10">
        <f t="shared" ref="O7:O15" si="1">SUM(L7:N7)</f>
        <v>38000</v>
      </c>
    </row>
    <row r="8" spans="1:15" ht="39.6" x14ac:dyDescent="0.25">
      <c r="A8" s="5" t="s">
        <v>462</v>
      </c>
      <c r="B8" s="5" t="s">
        <v>463</v>
      </c>
      <c r="C8" s="5" t="s">
        <v>464</v>
      </c>
      <c r="D8" s="5"/>
      <c r="E8" s="5"/>
      <c r="F8" s="5" t="s">
        <v>284</v>
      </c>
      <c r="G8" s="5" t="s">
        <v>415</v>
      </c>
      <c r="H8" s="5"/>
      <c r="I8" s="5"/>
      <c r="J8" s="5"/>
      <c r="K8" s="10"/>
      <c r="L8" s="10">
        <v>305000</v>
      </c>
      <c r="M8" s="10"/>
      <c r="N8" s="10"/>
      <c r="O8" s="10">
        <f t="shared" si="1"/>
        <v>305000</v>
      </c>
    </row>
    <row r="9" spans="1:15" ht="39.6" x14ac:dyDescent="0.25">
      <c r="A9" s="5" t="s">
        <v>465</v>
      </c>
      <c r="B9" s="5" t="s">
        <v>466</v>
      </c>
      <c r="C9" s="5" t="s">
        <v>467</v>
      </c>
      <c r="D9" s="5"/>
      <c r="E9" s="5"/>
      <c r="F9" s="5" t="s">
        <v>284</v>
      </c>
      <c r="G9" s="5" t="s">
        <v>362</v>
      </c>
      <c r="H9" s="5"/>
      <c r="I9" s="5"/>
      <c r="J9" s="5"/>
      <c r="K9" s="10"/>
      <c r="L9" s="10">
        <v>115072</v>
      </c>
      <c r="M9" s="10"/>
      <c r="N9" s="10"/>
      <c r="O9" s="10">
        <f t="shared" si="1"/>
        <v>115072</v>
      </c>
    </row>
    <row r="10" spans="1:15" ht="26.4" x14ac:dyDescent="0.25">
      <c r="A10" s="5" t="s">
        <v>468</v>
      </c>
      <c r="B10" s="5" t="s">
        <v>469</v>
      </c>
      <c r="C10" s="5" t="s">
        <v>470</v>
      </c>
      <c r="D10" s="5" t="s">
        <v>471</v>
      </c>
      <c r="E10" s="5" t="s">
        <v>472</v>
      </c>
      <c r="F10" s="5"/>
      <c r="G10" s="5" t="s">
        <v>473</v>
      </c>
      <c r="H10" s="5" t="s">
        <v>474</v>
      </c>
      <c r="I10" s="5"/>
      <c r="J10" s="5" t="s">
        <v>475</v>
      </c>
      <c r="K10" s="10"/>
      <c r="L10" s="10">
        <v>80000</v>
      </c>
      <c r="M10" s="10"/>
      <c r="N10" s="10"/>
      <c r="O10" s="10">
        <f t="shared" si="1"/>
        <v>80000</v>
      </c>
    </row>
    <row r="11" spans="1:15" ht="26.4" x14ac:dyDescent="0.25">
      <c r="A11" s="5" t="s">
        <v>476</v>
      </c>
      <c r="B11" s="5" t="s">
        <v>477</v>
      </c>
      <c r="C11" s="5" t="s">
        <v>478</v>
      </c>
      <c r="D11" s="5" t="s">
        <v>360</v>
      </c>
      <c r="E11" s="5" t="s">
        <v>426</v>
      </c>
      <c r="F11" s="5" t="s">
        <v>479</v>
      </c>
      <c r="G11" s="5" t="s">
        <v>480</v>
      </c>
      <c r="H11" s="5"/>
      <c r="I11" s="5"/>
      <c r="J11" s="5"/>
      <c r="K11" s="10"/>
      <c r="L11" s="10">
        <v>95000</v>
      </c>
      <c r="M11" s="10">
        <v>80000</v>
      </c>
      <c r="N11" s="10">
        <f>M11*0.049</f>
        <v>3920</v>
      </c>
      <c r="O11" s="10">
        <f t="shared" si="1"/>
        <v>178920</v>
      </c>
    </row>
    <row r="12" spans="1:15" ht="39.6" x14ac:dyDescent="0.25">
      <c r="A12" s="5" t="s">
        <v>481</v>
      </c>
      <c r="B12" s="5" t="s">
        <v>482</v>
      </c>
      <c r="C12" s="5" t="s">
        <v>483</v>
      </c>
      <c r="D12" s="5"/>
      <c r="E12" s="5"/>
      <c r="F12" s="5" t="s">
        <v>458</v>
      </c>
      <c r="G12" s="5" t="s">
        <v>441</v>
      </c>
      <c r="H12" s="5"/>
      <c r="I12" s="5"/>
      <c r="J12" s="5"/>
      <c r="K12" s="10"/>
      <c r="L12" s="10">
        <v>50000</v>
      </c>
      <c r="M12" s="10">
        <v>50000</v>
      </c>
      <c r="N12" s="10">
        <f>M12*0.049</f>
        <v>2450</v>
      </c>
      <c r="O12" s="10">
        <f t="shared" si="1"/>
        <v>102450</v>
      </c>
    </row>
    <row r="13" spans="1:15" ht="39.6" x14ac:dyDescent="0.25">
      <c r="A13" s="5" t="s">
        <v>484</v>
      </c>
      <c r="B13" s="5" t="s">
        <v>485</v>
      </c>
      <c r="C13" s="5" t="s">
        <v>486</v>
      </c>
      <c r="D13" s="5"/>
      <c r="E13" s="5"/>
      <c r="F13" s="5" t="s">
        <v>431</v>
      </c>
      <c r="G13" s="5" t="s">
        <v>362</v>
      </c>
      <c r="H13" s="5"/>
      <c r="I13" s="5"/>
      <c r="J13" s="5"/>
      <c r="K13" s="10"/>
      <c r="L13" s="10">
        <v>5000</v>
      </c>
      <c r="M13" s="10">
        <v>10000</v>
      </c>
      <c r="N13" s="10">
        <f>M13*0.049</f>
        <v>490</v>
      </c>
      <c r="O13" s="10">
        <f t="shared" si="1"/>
        <v>15490</v>
      </c>
    </row>
    <row r="14" spans="1:15" x14ac:dyDescent="0.25">
      <c r="A14" s="5" t="s">
        <v>487</v>
      </c>
      <c r="B14" s="5" t="s">
        <v>488</v>
      </c>
      <c r="C14" s="5" t="s">
        <v>489</v>
      </c>
      <c r="D14" s="5"/>
      <c r="E14" s="5"/>
      <c r="F14" s="5" t="s">
        <v>458</v>
      </c>
      <c r="G14" s="5"/>
      <c r="H14" s="5"/>
      <c r="I14" s="5"/>
      <c r="J14" s="5"/>
      <c r="K14" s="10"/>
      <c r="L14" s="10">
        <v>225000</v>
      </c>
      <c r="M14" s="10">
        <v>150000</v>
      </c>
      <c r="N14" s="10">
        <f>M14*0.049</f>
        <v>7350</v>
      </c>
      <c r="O14" s="10">
        <f t="shared" si="1"/>
        <v>382350</v>
      </c>
    </row>
    <row r="15" spans="1:15" ht="26.4" x14ac:dyDescent="0.25">
      <c r="A15" s="5" t="s">
        <v>490</v>
      </c>
      <c r="B15" s="5" t="s">
        <v>491</v>
      </c>
      <c r="C15" s="5" t="s">
        <v>492</v>
      </c>
      <c r="D15" s="5" t="s">
        <v>493</v>
      </c>
      <c r="E15" s="5" t="s">
        <v>426</v>
      </c>
      <c r="F15" s="5" t="s">
        <v>284</v>
      </c>
      <c r="G15" s="5" t="s">
        <v>378</v>
      </c>
      <c r="H15" s="5"/>
      <c r="I15" s="5"/>
      <c r="J15" s="5" t="s">
        <v>490</v>
      </c>
      <c r="K15" s="10"/>
      <c r="L15" s="10">
        <v>6000</v>
      </c>
      <c r="M15" s="10">
        <v>54000</v>
      </c>
      <c r="N15" s="10">
        <f>M15*0.049</f>
        <v>2646</v>
      </c>
      <c r="O15" s="10">
        <f t="shared" si="1"/>
        <v>62646</v>
      </c>
    </row>
    <row r="16" spans="1:15" ht="39.6" x14ac:dyDescent="0.25">
      <c r="A16" s="5" t="s">
        <v>494</v>
      </c>
      <c r="B16" s="5" t="s">
        <v>495</v>
      </c>
      <c r="C16" s="5" t="s">
        <v>496</v>
      </c>
      <c r="D16" s="5"/>
      <c r="E16" s="5"/>
      <c r="F16" s="5" t="s">
        <v>431</v>
      </c>
      <c r="G16" s="5" t="s">
        <v>402</v>
      </c>
      <c r="H16" s="5"/>
      <c r="I16" s="5"/>
      <c r="J16" s="5"/>
      <c r="K16" s="10"/>
      <c r="L16" s="10"/>
      <c r="M16" s="10">
        <v>30000</v>
      </c>
      <c r="N16" s="10">
        <f t="shared" ref="N16:N27" si="2">M16*0.049</f>
        <v>1470</v>
      </c>
      <c r="O16" s="10">
        <f t="shared" ref="O16:O20" si="3">SUM(L16:N16)</f>
        <v>31470</v>
      </c>
    </row>
    <row r="17" spans="1:15" ht="39.6" x14ac:dyDescent="0.25">
      <c r="A17" s="5" t="s">
        <v>497</v>
      </c>
      <c r="B17" s="5" t="s">
        <v>498</v>
      </c>
      <c r="C17" s="5" t="s">
        <v>499</v>
      </c>
      <c r="D17" s="5"/>
      <c r="E17" s="5"/>
      <c r="F17" s="5" t="s">
        <v>431</v>
      </c>
      <c r="G17" s="5" t="s">
        <v>407</v>
      </c>
      <c r="H17" s="5"/>
      <c r="I17" s="5"/>
      <c r="J17" s="5"/>
      <c r="K17" s="10"/>
      <c r="L17" s="10"/>
      <c r="M17" s="10">
        <v>50000</v>
      </c>
      <c r="N17" s="10">
        <f t="shared" si="2"/>
        <v>2450</v>
      </c>
      <c r="O17" s="10">
        <f t="shared" si="3"/>
        <v>52450</v>
      </c>
    </row>
    <row r="18" spans="1:15" ht="39.6" x14ac:dyDescent="0.25">
      <c r="A18" s="5" t="s">
        <v>427</v>
      </c>
      <c r="B18" s="5" t="s">
        <v>428</v>
      </c>
      <c r="C18" s="5" t="s">
        <v>429</v>
      </c>
      <c r="D18" s="5"/>
      <c r="E18" s="5"/>
      <c r="F18" s="5" t="s">
        <v>431</v>
      </c>
      <c r="G18" s="5" t="s">
        <v>378</v>
      </c>
      <c r="H18" s="5"/>
      <c r="I18" s="5"/>
      <c r="J18" s="5"/>
      <c r="K18" s="10"/>
      <c r="L18" s="10"/>
      <c r="M18" s="10">
        <v>30000</v>
      </c>
      <c r="N18" s="10">
        <f t="shared" si="2"/>
        <v>1470</v>
      </c>
      <c r="O18" s="10">
        <f t="shared" si="3"/>
        <v>31470</v>
      </c>
    </row>
    <row r="19" spans="1:15" ht="26.4" x14ac:dyDescent="0.25">
      <c r="A19" s="5" t="s">
        <v>500</v>
      </c>
      <c r="B19" s="5" t="s">
        <v>501</v>
      </c>
      <c r="C19" s="5" t="s">
        <v>502</v>
      </c>
      <c r="D19" s="5"/>
      <c r="E19" s="5"/>
      <c r="F19" s="5" t="s">
        <v>431</v>
      </c>
      <c r="G19" s="5" t="s">
        <v>503</v>
      </c>
      <c r="H19" s="5"/>
      <c r="I19" s="5"/>
      <c r="J19" s="5"/>
      <c r="K19" s="10"/>
      <c r="L19" s="10"/>
      <c r="M19" s="10">
        <v>100000</v>
      </c>
      <c r="N19" s="10">
        <f t="shared" si="2"/>
        <v>4900</v>
      </c>
      <c r="O19" s="10">
        <f t="shared" si="3"/>
        <v>104900</v>
      </c>
    </row>
    <row r="20" spans="1:15" ht="39.6" x14ac:dyDescent="0.25">
      <c r="A20" s="5" t="s">
        <v>504</v>
      </c>
      <c r="B20" s="5" t="s">
        <v>505</v>
      </c>
      <c r="C20" s="5" t="s">
        <v>506</v>
      </c>
      <c r="D20" s="5"/>
      <c r="E20" s="5"/>
      <c r="F20" s="5" t="s">
        <v>507</v>
      </c>
      <c r="G20" s="5" t="s">
        <v>362</v>
      </c>
      <c r="H20" s="5"/>
      <c r="I20" s="5"/>
      <c r="J20" s="5"/>
      <c r="K20" s="10"/>
      <c r="L20" s="10"/>
      <c r="M20" s="10">
        <v>40000</v>
      </c>
      <c r="N20" s="10">
        <f t="shared" si="2"/>
        <v>1960</v>
      </c>
      <c r="O20" s="10">
        <f t="shared" si="3"/>
        <v>41960</v>
      </c>
    </row>
    <row r="21" spans="1:15" ht="39.6" x14ac:dyDescent="0.25">
      <c r="A21" s="5" t="s">
        <v>508</v>
      </c>
      <c r="B21" s="5" t="s">
        <v>509</v>
      </c>
      <c r="C21" s="5" t="s">
        <v>510</v>
      </c>
      <c r="D21" s="5"/>
      <c r="E21" s="5"/>
      <c r="F21" s="5" t="s">
        <v>511</v>
      </c>
      <c r="G21" s="5" t="s">
        <v>362</v>
      </c>
      <c r="H21" s="5"/>
      <c r="I21" s="5"/>
      <c r="J21" s="5"/>
      <c r="K21" s="10"/>
      <c r="L21" s="10"/>
      <c r="M21" s="10">
        <v>80000</v>
      </c>
      <c r="N21" s="10">
        <f>M21*0.049</f>
        <v>3920</v>
      </c>
      <c r="O21" s="10">
        <f>SUM(L21:N21)</f>
        <v>83920</v>
      </c>
    </row>
    <row r="22" spans="1:15" ht="26.4" x14ac:dyDescent="0.25">
      <c r="A22" s="5" t="s">
        <v>458</v>
      </c>
      <c r="B22" s="5" t="s">
        <v>512</v>
      </c>
      <c r="C22" s="5" t="s">
        <v>513</v>
      </c>
      <c r="D22" s="5"/>
      <c r="E22" s="5"/>
      <c r="F22" s="5" t="s">
        <v>401</v>
      </c>
      <c r="G22" s="5" t="s">
        <v>514</v>
      </c>
      <c r="H22" s="5"/>
      <c r="I22" s="5"/>
      <c r="J22" s="5"/>
      <c r="K22" s="10"/>
      <c r="L22" s="10"/>
      <c r="M22" s="10">
        <v>25000</v>
      </c>
      <c r="N22" s="10">
        <f>M22*0.049</f>
        <v>1225</v>
      </c>
      <c r="O22" s="10">
        <f>SUM(L22:N22)</f>
        <v>26225</v>
      </c>
    </row>
    <row r="23" spans="1:15" ht="26.4" x14ac:dyDescent="0.25">
      <c r="A23" s="5" t="s">
        <v>515</v>
      </c>
      <c r="B23" s="5" t="s">
        <v>516</v>
      </c>
      <c r="C23" s="5" t="s">
        <v>517</v>
      </c>
      <c r="D23" s="5"/>
      <c r="E23" s="5"/>
      <c r="F23" s="5" t="s">
        <v>284</v>
      </c>
      <c r="G23" s="5" t="s">
        <v>378</v>
      </c>
      <c r="H23" s="5"/>
      <c r="I23" s="5"/>
      <c r="J23" s="5"/>
      <c r="K23" s="10"/>
      <c r="L23" s="10"/>
      <c r="M23" s="10">
        <v>145000</v>
      </c>
      <c r="N23" s="10">
        <f>M23*0.049</f>
        <v>7105</v>
      </c>
      <c r="O23" s="10">
        <f>SUM(L23:N23)</f>
        <v>152105</v>
      </c>
    </row>
    <row r="24" spans="1:15" ht="39.6" x14ac:dyDescent="0.25">
      <c r="A24" s="5" t="s">
        <v>518</v>
      </c>
      <c r="B24" s="5" t="s">
        <v>519</v>
      </c>
      <c r="C24" s="5" t="s">
        <v>520</v>
      </c>
      <c r="D24" s="5"/>
      <c r="E24" s="5"/>
      <c r="F24" s="5" t="s">
        <v>372</v>
      </c>
      <c r="G24" s="5" t="s">
        <v>362</v>
      </c>
      <c r="H24" s="5"/>
      <c r="I24" s="5"/>
      <c r="J24" s="5"/>
      <c r="K24" s="11"/>
      <c r="L24" s="11"/>
      <c r="M24" s="11"/>
      <c r="N24" s="11"/>
      <c r="O24" s="11"/>
    </row>
    <row r="25" spans="1:15" ht="39.6" x14ac:dyDescent="0.25">
      <c r="A25" s="5" t="s">
        <v>521</v>
      </c>
      <c r="B25" s="5" t="s">
        <v>522</v>
      </c>
      <c r="C25" s="5" t="s">
        <v>523</v>
      </c>
      <c r="D25" s="5"/>
      <c r="E25" s="5"/>
      <c r="F25" s="5" t="s">
        <v>284</v>
      </c>
      <c r="G25" s="5" t="s">
        <v>362</v>
      </c>
      <c r="H25" s="5"/>
      <c r="I25" s="5"/>
      <c r="J25" s="5"/>
      <c r="K25" s="11"/>
      <c r="L25" s="11"/>
      <c r="M25" s="11"/>
      <c r="N25" s="11"/>
      <c r="O25" s="11"/>
    </row>
    <row r="26" spans="1:15" ht="26.4" x14ac:dyDescent="0.25">
      <c r="A26" s="5" t="s">
        <v>524</v>
      </c>
      <c r="B26" s="5" t="s">
        <v>525</v>
      </c>
      <c r="C26" s="5" t="s">
        <v>526</v>
      </c>
      <c r="D26" s="5"/>
      <c r="E26" s="5"/>
      <c r="F26" s="5" t="s">
        <v>372</v>
      </c>
      <c r="G26" s="5" t="s">
        <v>480</v>
      </c>
      <c r="H26" s="5"/>
      <c r="I26" s="5"/>
      <c r="J26" s="5"/>
      <c r="K26" s="11"/>
      <c r="L26" s="11"/>
      <c r="M26" s="11"/>
      <c r="N26" s="11"/>
      <c r="O26" s="11"/>
    </row>
    <row r="27" spans="1:15" x14ac:dyDescent="0.25">
      <c r="A27" s="5"/>
      <c r="B27" s="5" t="s">
        <v>527</v>
      </c>
      <c r="C27" s="5" t="s">
        <v>528</v>
      </c>
      <c r="D27" s="5"/>
      <c r="E27" s="5"/>
      <c r="F27" s="5"/>
      <c r="G27" s="5"/>
      <c r="H27" s="5"/>
      <c r="I27" s="5"/>
      <c r="J27" s="5"/>
      <c r="K27" s="10">
        <v>26641</v>
      </c>
      <c r="L27" s="10">
        <v>50000</v>
      </c>
      <c r="M27" s="10">
        <v>92038.13</v>
      </c>
      <c r="N27" s="10">
        <f t="shared" si="2"/>
        <v>4509.8683700000001</v>
      </c>
      <c r="O27" s="10">
        <f>SUM(K27:M27)</f>
        <v>168679.13</v>
      </c>
    </row>
    <row r="28" spans="1:15" x14ac:dyDescent="0.25">
      <c r="C28" s="75"/>
      <c r="D28" s="75"/>
      <c r="E28" s="75"/>
      <c r="F28" s="75"/>
      <c r="G28" s="75"/>
      <c r="H28" s="75"/>
      <c r="I28" s="75"/>
      <c r="J28" s="75"/>
      <c r="K28" s="10">
        <f>SUM(K3:K27)</f>
        <v>191641</v>
      </c>
      <c r="L28" s="10">
        <f>SUM(L3:L27)</f>
        <v>1035162</v>
      </c>
      <c r="M28" s="10">
        <f>SUM(M3:M27)</f>
        <v>936038.13</v>
      </c>
      <c r="N28" s="10">
        <f>SUM(N3:N27)</f>
        <v>45865.868369999997</v>
      </c>
      <c r="O28" s="10">
        <f>SUM(K28:N28)</f>
        <v>2208706.9983699997</v>
      </c>
    </row>
  </sheetData>
  <mergeCells count="1">
    <mergeCell ref="A1:B1"/>
  </mergeCells>
  <hyperlinks>
    <hyperlink ref="A1" location="'Spend Overview'!A1" display="OVERVIEW" xr:uid="{5F5970B7-F586-4DB5-A25C-545140F31D88}"/>
  </hyperlink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dbb7ed-e4ee-4dcf-a7d2-33eb0338b045">
      <Terms xmlns="http://schemas.microsoft.com/office/infopath/2007/PartnerControls"/>
    </lcf76f155ced4ddcb4097134ff3c332f>
    <TaxCatchAll xmlns="766c96c6-e1bf-471c-b541-99b06930bf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F71292DBBDBA429639E2F58EAF751C" ma:contentTypeVersion="12" ma:contentTypeDescription="Create a new document." ma:contentTypeScope="" ma:versionID="45ba8291daa70709bd56fd0b1c0499b7">
  <xsd:schema xmlns:xsd="http://www.w3.org/2001/XMLSchema" xmlns:xs="http://www.w3.org/2001/XMLSchema" xmlns:p="http://schemas.microsoft.com/office/2006/metadata/properties" xmlns:ns2="c3dbb7ed-e4ee-4dcf-a7d2-33eb0338b045" xmlns:ns3="766c96c6-e1bf-471c-b541-99b06930bfba" targetNamespace="http://schemas.microsoft.com/office/2006/metadata/properties" ma:root="true" ma:fieldsID="8390b0dcbf254220b8a64c4033588886" ns2:_="" ns3:_="">
    <xsd:import namespace="c3dbb7ed-e4ee-4dcf-a7d2-33eb0338b045"/>
    <xsd:import namespace="766c96c6-e1bf-471c-b541-99b06930bf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b7ed-e4ee-4dcf-a7d2-33eb0338b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6c96c6-e1bf-471c-b541-99b06930bfb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f574269-761b-499e-a375-90ee089e6e77}" ma:internalName="TaxCatchAll" ma:showField="CatchAllData" ma:web="766c96c6-e1bf-471c-b541-99b06930b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C6F73-BF74-438C-A3F5-C7BB2FE9447E}">
  <ds:schemaRefs>
    <ds:schemaRef ds:uri="http://purl.org/dc/elements/1.1/"/>
    <ds:schemaRef ds:uri="c3dbb7ed-e4ee-4dcf-a7d2-33eb0338b045"/>
    <ds:schemaRef ds:uri="http://schemas.microsoft.com/office/infopath/2007/PartnerControls"/>
    <ds:schemaRef ds:uri="766c96c6-e1bf-471c-b541-99b06930bfba"/>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33DCD912-9C3F-4AFE-ABAC-7D2F095131B1}">
  <ds:schemaRefs>
    <ds:schemaRef ds:uri="http://schemas.microsoft.com/sharepoint/v3/contenttype/forms"/>
  </ds:schemaRefs>
</ds:datastoreItem>
</file>

<file path=customXml/itemProps3.xml><?xml version="1.0" encoding="utf-8"?>
<ds:datastoreItem xmlns:ds="http://schemas.openxmlformats.org/officeDocument/2006/customXml" ds:itemID="{610319A2-BBA6-4A5A-BE26-6ABEA2853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b7ed-e4ee-4dcf-a7d2-33eb0338b045"/>
    <ds:schemaRef ds:uri="766c96c6-e1bf-471c-b541-99b06930b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Spend Overview</vt:lpstr>
      <vt:lpstr>Resurfacing Schemes</vt:lpstr>
      <vt:lpstr>Surface Dressing Schemes</vt:lpstr>
      <vt:lpstr>Patching Schemes</vt:lpstr>
      <vt:lpstr>Drainage</vt:lpstr>
      <vt:lpstr>Structures</vt:lpstr>
      <vt:lpstr>Street Lighting</vt:lpstr>
      <vt:lpstr>ITB Stage 5</vt:lpstr>
      <vt:lpstr>ITB Stage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Dobson</dc:creator>
  <cp:keywords/>
  <dc:description/>
  <cp:lastModifiedBy>Liz Renes</cp:lastModifiedBy>
  <cp:revision/>
  <dcterms:created xsi:type="dcterms:W3CDTF">2025-11-03T09:30:56Z</dcterms:created>
  <dcterms:modified xsi:type="dcterms:W3CDTF">2026-01-21T12:31:56Z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0x01010002F71292DBBDBA429639E2F58EAF751C</vt:lpwstr>
  </property>
  <property fmtid="{D5CDD505-2E9C-101B-9397-08002B2CF9AE}" pid="3" name="MediaServiceImageTags">
    <vt:lpwstr/>
  </property>
</Properties>
</file>